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showInkAnnotation="0"/>
  <mc:AlternateContent xmlns:mc="http://schemas.openxmlformats.org/markup-compatibility/2006">
    <mc:Choice Requires="x15">
      <x15ac:absPath xmlns:x15ac="http://schemas.microsoft.com/office/spreadsheetml/2010/11/ac" url="Z:\Comisión Incidencia Política y Redes\Area IP\2025\Presupuestos 2025\Gobierno de Navarra\"/>
    </mc:Choice>
  </mc:AlternateContent>
  <xr:revisionPtr revIDLastSave="0" documentId="13_ncr:1_{92461998-9BBE-439C-9EFC-8D3D8AA1B4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str.Presup.2025 Instrumentos" sheetId="6" r:id="rId1"/>
    <sheet name="Hoja1" sheetId="7" r:id="rId2"/>
    <sheet name="Hoja4" sheetId="10" r:id="rId3"/>
    <sheet name="Hoja3" sheetId="9" r:id="rId4"/>
    <sheet name="Hoja2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9" l="1"/>
  <c r="O7" i="9"/>
  <c r="L2" i="9"/>
  <c r="G63" i="7" l="1"/>
  <c r="P10" i="9"/>
  <c r="S7" i="9"/>
  <c r="E62" i="7"/>
  <c r="N5" i="9"/>
  <c r="P5" i="9" s="1"/>
  <c r="E61" i="7"/>
  <c r="E57" i="7"/>
  <c r="B54" i="7"/>
  <c r="D7" i="10" l="1"/>
  <c r="E12" i="7" l="1"/>
  <c r="D15" i="7" l="1"/>
  <c r="E29" i="7" s="1"/>
  <c r="I30" i="7" s="1"/>
  <c r="P1" i="9"/>
  <c r="Q8" i="9"/>
  <c r="D39" i="8" l="1"/>
  <c r="D10" i="8"/>
  <c r="E10" i="8" s="1"/>
  <c r="D16" i="8"/>
  <c r="D14" i="8"/>
  <c r="E14" i="8" s="1"/>
  <c r="D4" i="8"/>
  <c r="E4" i="8" s="1"/>
  <c r="D37" i="7"/>
  <c r="C45" i="7"/>
  <c r="D43" i="7" s="1"/>
  <c r="D49" i="7"/>
  <c r="D40" i="7"/>
  <c r="E52" i="7" l="1"/>
  <c r="I31" i="7"/>
  <c r="E41" i="7"/>
  <c r="F33" i="7" s="1"/>
  <c r="J20" i="7"/>
  <c r="E30" i="7"/>
  <c r="E16" i="8"/>
  <c r="E17" i="8" s="1"/>
  <c r="F2" i="7" l="1"/>
  <c r="G14" i="7" s="1"/>
  <c r="C34" i="8"/>
  <c r="D27" i="8"/>
  <c r="D20" i="8"/>
  <c r="C28" i="8"/>
  <c r="D31" i="8"/>
  <c r="B34" i="8"/>
  <c r="C32" i="8"/>
  <c r="B32" i="8"/>
  <c r="D30" i="8"/>
  <c r="B28" i="8"/>
  <c r="B22" i="8"/>
  <c r="D25" i="8"/>
  <c r="C22" i="8"/>
  <c r="D21" i="8"/>
  <c r="D26" i="8"/>
  <c r="D28" i="8"/>
  <c r="D22" i="8"/>
  <c r="D34" i="8"/>
  <c r="F30" i="7" l="1"/>
  <c r="G12" i="7"/>
  <c r="G2" i="7"/>
  <c r="G29" i="7"/>
  <c r="D32" i="8"/>
  <c r="E32" i="8" s="1"/>
  <c r="E28" i="8"/>
  <c r="E22" i="8"/>
  <c r="E34" i="8"/>
  <c r="E35" i="8" l="1"/>
  <c r="G29" i="6"/>
  <c r="G31" i="6" l="1"/>
  <c r="J4" i="6" l="1"/>
  <c r="C2" i="6" s="1"/>
  <c r="C1" i="6" s="1"/>
  <c r="D3" i="6" s="1"/>
  <c r="G33" i="6"/>
  <c r="D2" i="6" l="1"/>
</calcChain>
</file>

<file path=xl/sharedStrings.xml><?xml version="1.0" encoding="utf-8"?>
<sst xmlns="http://schemas.openxmlformats.org/spreadsheetml/2006/main" count="282" uniqueCount="219">
  <si>
    <t>Departamento/Programa/Proyecto/Partida</t>
  </si>
  <si>
    <t xml:space="preserve">*          900004  Cooperación internacional </t>
  </si>
  <si>
    <t>Modalidad</t>
  </si>
  <si>
    <t>Instrumento</t>
  </si>
  <si>
    <t>Tipo</t>
  </si>
  <si>
    <t>Objeto de la convocatoria y características.</t>
  </si>
  <si>
    <t>Solicitudes subvencionables</t>
  </si>
  <si>
    <t>Características</t>
  </si>
  <si>
    <t>Cooperación económica</t>
  </si>
  <si>
    <t xml:space="preserve">Convocatoria </t>
  </si>
  <si>
    <t>Convocatoria</t>
  </si>
  <si>
    <t>ONGD</t>
  </si>
  <si>
    <t>Convenio</t>
  </si>
  <si>
    <t>Acción Humanitaria</t>
  </si>
  <si>
    <t>ONGD especializadas en Ayuda Humanitaria de Emergencia.</t>
  </si>
  <si>
    <t>Informar y transmitir conociemientos de los problemas que afectan a los países en desarrollo, en especial a los países menos adelantados favoreciendo la comprensión de las causas de la pobreza y las interrelaciones económicas, sociales y culturales de la globalización.</t>
  </si>
  <si>
    <t>Entidades solic.</t>
  </si>
  <si>
    <t xml:space="preserve">Educación para el Desarrollo y sensibilización   </t>
  </si>
  <si>
    <t>Sensibilización</t>
  </si>
  <si>
    <t>ONGD y Universidad</t>
  </si>
  <si>
    <t xml:space="preserve">             900004 91100 2301 143100  Gastos de viaje</t>
  </si>
  <si>
    <t xml:space="preserve">             900004 91100 2276 143100  Asistencia técnica, difusión, control y evaluación</t>
  </si>
  <si>
    <t xml:space="preserve">             900004 91100 4819 143102  Cooperación internacional al desarrollo</t>
  </si>
  <si>
    <t xml:space="preserve">             900004 91100 4819 143103  Ayudas para emergencias internacionales</t>
  </si>
  <si>
    <t xml:space="preserve">             900004 91100 4819 143107  Subvención a la Coordinadora ONGD de Navarra</t>
  </si>
  <si>
    <t>ONGD (ANAS)</t>
  </si>
  <si>
    <t xml:space="preserve">             900004 91100 4819  xxxxxxx Subvención a (ANARASD ó Delegación Saharaui en España) para la estructura de la delegación saharaui en Navarra</t>
  </si>
  <si>
    <t xml:space="preserve">     900004 91100 1200 143100  Retribuciones del personal fijo</t>
  </si>
  <si>
    <t xml:space="preserve">     900004 91100 1210 143100  Retribuciones del personal contratado para cubrir plazas res</t>
  </si>
  <si>
    <t xml:space="preserve">     900004 91100 1211 143100  Retribuciones del personal contratado para cubrir vacantes</t>
  </si>
  <si>
    <t>Total personal</t>
  </si>
  <si>
    <t>Total costes adminsitrativos</t>
  </si>
  <si>
    <t>Total distribuible</t>
  </si>
  <si>
    <t>Convocatoria EPD no formal y sensibilización</t>
  </si>
  <si>
    <t>EpD  no formal</t>
  </si>
  <si>
    <t>Convocatoria Proyectos anuales</t>
  </si>
  <si>
    <t xml:space="preserve">             900004 91100 4819 xxxxxxxx Ayuda Humanitaria para la Población Saharaui</t>
  </si>
  <si>
    <t>Total otros gastos administrativos</t>
  </si>
  <si>
    <t>2015</t>
  </si>
  <si>
    <t xml:space="preserve">             900004 91100 4819 143103  Ayudas para emergencias internacionales (Convocatoria inicial 240000 + ayuda directa al sahara de 20000)</t>
  </si>
  <si>
    <t xml:space="preserve">             900004 91100 4819 143105  Fondo 0,7% IRPF. Cooperación internacional al desarrollo (proyectos)</t>
  </si>
  <si>
    <t>900004 91100 4819 143105  Fondo 0,7% IRPF. Cooperación internacional al desarrollo (Convocatoria Ayuda Humanitaria para la Población Saharaui)</t>
  </si>
  <si>
    <t>Convocatoria EPD formal (convocados 2015, 182242)</t>
  </si>
  <si>
    <t>Convocatoria EPD no formal y sensibilización (convocados 40000 para cada uno)</t>
  </si>
  <si>
    <t>Convocatoria PROGRAMAS</t>
  </si>
  <si>
    <t xml:space="preserve">             900004 91100 4819 143105  Fondo 0,7% IRPF. Cooperación internacional al desarrollo (PROGRAMAS)</t>
  </si>
  <si>
    <t>1.1.Programas plurianuales de Desarrollo</t>
  </si>
  <si>
    <t>1.2.Proyectos anuales de desarrollo</t>
  </si>
  <si>
    <t>1.3.Microacciones</t>
  </si>
  <si>
    <t>Intervenciones que tienen por objeto las inversiones en bienes de equipo u otro tipo de adquisiciones que se incorporan a un proyecto de desarrollo, o la realización de actuaciones de dimensión temporal y económica de menor envergadura que éste.</t>
  </si>
  <si>
    <t>Apoyar a las familias navarras que participan en ese programa. Dirigido a proporcionar entornos de convivencia en un clima de paz y tolerancia a los niños y niñas saharauis que acuden estacionalmente a navarra.</t>
  </si>
  <si>
    <t>ONGD individual o en Agrupación</t>
  </si>
  <si>
    <t>Plazo solicitud</t>
  </si>
  <si>
    <t>Son intervenciones a 3 años que tienen como finalidad la lucha contra la pobreza y la promoción del desarrollo humano y se caracterizan por ser intervenciones de carácter integral o de amplio impacto sectorial en el área o zona de actuación y por estar diseñados para lograr efectos a medio y largo plazo.</t>
  </si>
  <si>
    <t>Son intervenciones tendentes a la mejora de las condiciones de vida de la población diseñadas con un horizonte temporal de un año.</t>
  </si>
  <si>
    <t>Apoyo a la CONGD en su función de coordinación de educación para el desarrollo</t>
  </si>
  <si>
    <t>Coordinadora de ONGD de Navarra.</t>
  </si>
  <si>
    <t>AOD distribuible:</t>
  </si>
  <si>
    <t>AOD no distribuible (costes administrativos):</t>
  </si>
  <si>
    <t>Proyectos que promuevan procesos educativos que favorezcan una mejor comprensión de los problemas que afectan a los países en desarrollo, generen una actitud positiva hacia ellos y estimulen a la solidaridad y a la cooperación activa con los mismos y se desarrollen en el ámbito  formal de la educación reglada sea cual fuere su nivel (desde infantil hasta universitaria)</t>
  </si>
  <si>
    <t>Proyectos que promuevan procesos educativos que favorezcan una mejor comprensión de los problemas que afectan a los países en desarrollo, generen una actitud positiva hacia ellos y estimulen a la solidaridad y a la cooperación activa con los mismos y se desarrollen en el ámbito  educativo no formal e informal.</t>
  </si>
  <si>
    <t>Importe Proyecto</t>
  </si>
  <si>
    <t>Según Modalidad</t>
  </si>
  <si>
    <t>TOTAL</t>
  </si>
  <si>
    <t>     900004 91100 2268 143100  Gastos Premio Internacional "Navarra" a la Solidaridad</t>
  </si>
  <si>
    <t xml:space="preserve">Convocatoria EPD formal </t>
  </si>
  <si>
    <t>PROGRAMAS</t>
  </si>
  <si>
    <t>Micros</t>
  </si>
  <si>
    <t>Proyectos</t>
  </si>
  <si>
    <t>Programas</t>
  </si>
  <si>
    <t>Sensi</t>
  </si>
  <si>
    <t>No Formal</t>
  </si>
  <si>
    <t>Formal</t>
  </si>
  <si>
    <t>AH general</t>
  </si>
  <si>
    <t>Sahara</t>
  </si>
  <si>
    <t>Convenios Sahara</t>
  </si>
  <si>
    <t>Premio</t>
  </si>
  <si>
    <t>Administrativos</t>
  </si>
  <si>
    <t>Coordinadora</t>
  </si>
  <si>
    <t>Concienciar y sensibilizar a la sociedad sobre la importancia del trabajo voluntario y solidario, en favor de los sectores sociales más desfavorecidos de los países y pueblos empobrecidos.</t>
  </si>
  <si>
    <t>Actuación Directa en colaboración con LK</t>
  </si>
  <si>
    <t xml:space="preserve">Máximo 3 por Entidad solicitante no pudiendo ser las tres en la misma modalidad. Las Agrupaciones se contabilizan como Entidades independientes. </t>
  </si>
  <si>
    <t>Intervenciones identificadas, diseñadas y realizadas por ONGD y otros actores especializados (Universidades, Organizaciones sindicales y empresariales), cuya finalidad es promover el refuerzo de las capacidades de personas y organizaciones implicadas directa o indirectamente en el desarrollo endógeno de los países en desarrollo, mediante el asesoramiento técnico, formación, capacitación y la investigación aplicada, y todo ello mediante el intercambio y transferencia de conocimiento entre profesionales y expertos de los citados actores.</t>
  </si>
  <si>
    <t>Cooperación técnica</t>
  </si>
  <si>
    <t>15 días hábiles</t>
  </si>
  <si>
    <t>Requisito: prioridades geográficas según III Plan Director Navarra. Se podrá financiar el 100% de la totalidad del proyecto.</t>
  </si>
  <si>
    <t xml:space="preserve">Se favorecen prioridades secotriales y geográficas según III Plan Director de Navarra. Se podrá financiar hasta el 100% del coste total. </t>
  </si>
  <si>
    <t>ONGD, universidades, organizaciones sindicales y otros agentes especializados</t>
  </si>
  <si>
    <t>La propuesta tendrá actuaciones de conocimientos, actitudes y comportamientos, trabajo continuado a lo largo del año; incorporación de la propuesta en el programa del Centro o Entidad; apoyo técnico, asesoria y proyección comunicartaria. No requiere cofinanciación</t>
  </si>
  <si>
    <t xml:space="preserve">
Solicitudes individuales o en Agrupación (incluyendo ONGD y otros Agentes). No requiere cofinanciación</t>
  </si>
  <si>
    <t>PREVISIÓN 2022</t>
  </si>
  <si>
    <t>Lurraldetasuna</t>
  </si>
  <si>
    <t>Modalitateak</t>
  </si>
  <si>
    <t>Ekintza mota eta tresnak</t>
  </si>
  <si>
    <t>Ekintza zuzena</t>
  </si>
  <si>
    <t>(% 6,3)</t>
  </si>
  <si>
    <t>Zeharkako ekintza</t>
  </si>
  <si>
    <t>(% 93,7)</t>
  </si>
  <si>
    <t>I. ardatza: herrialde kideetako esku hartzea (% 87)</t>
  </si>
  <si>
    <t>Lankidetza ekonomikoa (% 73)</t>
  </si>
  <si>
    <t>Mikroekintzak (% 3)</t>
  </si>
  <si>
    <t>Proiektuak (% 26)</t>
  </si>
  <si>
    <t>Programak (% 44)</t>
  </si>
  <si>
    <t>(Programak % 34 / Estrategia mistoak % 10)</t>
  </si>
  <si>
    <t>Lankidetza teknikoa (% 1,5)</t>
  </si>
  <si>
    <t>Proiektuak (% 1)</t>
  </si>
  <si>
    <t>Eragile espezializatuen deialdia (% 0,5)</t>
  </si>
  <si>
    <t>Ekintza humanitarioa (% 12,5)</t>
  </si>
  <si>
    <t>Berehalako erantzuna emateko deialdi irekia (% 1)</t>
  </si>
  <si>
    <t xml:space="preserve">Saharar herriarekin lorturiko akordioa (% 3) </t>
  </si>
  <si>
    <t>Hitzarmenak Nazio Batuen agentziekin (% 8,5)</t>
  </si>
  <si>
    <t>II. eta III. ardatzak. Nafarroan eginiko jarduerak (% 13)</t>
  </si>
  <si>
    <t>Garapenerako hezkuntza (% 7)</t>
  </si>
  <si>
    <t>Gazte programak (% 0,5)</t>
  </si>
  <si>
    <t>Garapenerako laguntza eta sentsibilizazio deialdia (% 6,5)</t>
  </si>
  <si>
    <t>Indartze instituzionala (% 2)</t>
  </si>
  <si>
    <t>«Indartze instituzionala» ardatzeko ekintzak (% 0,8)</t>
  </si>
  <si>
    <t>Nafarroako GGKEen Koordinakundearekin sinaturiko hitzarmena (% 1)</t>
  </si>
  <si>
    <t xml:space="preserve">Saharar herriarekin sinaturiko akordioa (% 0,2) </t>
  </si>
  <si>
    <t>Administrazio gastuak (% 4)</t>
  </si>
  <si>
    <t>Hainbat kostu: langileak, laguntza teknikoa... (% 4)</t>
  </si>
  <si>
    <t>Lankidetza ekonomikoa (% 73) 11280000</t>
  </si>
  <si>
    <t>Proiektuak (% 26)2932800</t>
  </si>
  <si>
    <t xml:space="preserve"> 13920000 I. ardatza: herrialde kideetako esku hartzea (% 87)</t>
  </si>
  <si>
    <t>II. eta III. ardatzak. Nafarroan eginiko jarduerak (% 13) 2080000</t>
  </si>
  <si>
    <t>Lankidetza teknikoa (% 1,5)240000</t>
  </si>
  <si>
    <t>Ekintza humanitarioa (% 12,5)2000000</t>
  </si>
  <si>
    <t>Hitzarmenak Nazio Batuen agentziekin (% 8,5) 13600000</t>
  </si>
  <si>
    <t>Saharar herriarekin lorturiko akordioa (% 3) 480000</t>
  </si>
  <si>
    <t>Berehalako erantzuna emateko deialdi irekia (% 1)160000</t>
  </si>
  <si>
    <t>Garapenerako hezkuntza (% 7)1120000</t>
  </si>
  <si>
    <t>Nafarroako GGKEen Koordinakundearekin sinaturiko hitzarmena (% 1)160000</t>
  </si>
  <si>
    <t>«Indartze instituzionala» ardatzeko ekintzak (% 0,8)128000</t>
  </si>
  <si>
    <t>Saharar herriarekin sinaturiko akordioa (% 0,2) 32000</t>
  </si>
  <si>
    <t>Hainbat kostu: langileak, laguntza teknikoa... (% 4)640000</t>
  </si>
  <si>
    <t>Convenios con Agencias de NNUU UNICEF</t>
  </si>
  <si>
    <t>Convenios con Agencias de NNUU UNWRA</t>
  </si>
  <si>
    <t>Convenios con Agencias de NNUU ACNUR</t>
  </si>
  <si>
    <t xml:space="preserve">             900004 91100 4819  xxxxxxx Subvención a ANAS para el programa de Vaciones en Paz de menores saharauis</t>
  </si>
  <si>
    <t>Distribución AOD (fotalecimiento institucional 0,8%)</t>
  </si>
  <si>
    <t xml:space="preserve">     900004 91100 2268 143100  Gastos Premio Internacional "Navarra" a la Solidaridad</t>
  </si>
  <si>
    <t xml:space="preserve">     900004 91100 2276 143100  Asistencia técnica, difusión, control y evaluación</t>
  </si>
  <si>
    <t xml:space="preserve">     900004 91100 2301 143100  Gastos de viaje</t>
  </si>
  <si>
    <t xml:space="preserve">     900004 91100 4819 143102  Cooperación internacional al desarrollo</t>
  </si>
  <si>
    <r>
      <t xml:space="preserve">     900004 91100 4819 143103 </t>
    </r>
    <r>
      <rPr>
        <sz val="10"/>
        <color rgb="FFFF0000"/>
        <rFont val="Arial"/>
        <family val="2"/>
      </rPr>
      <t xml:space="preserve"> Respuesta inmediata a emergencias internacionales</t>
    </r>
  </si>
  <si>
    <t xml:space="preserve">     900004 91100 4819 143104  Cooperación y solidaridad con el pueblo saharaui</t>
  </si>
  <si>
    <t xml:space="preserve">     900004 91100 4819 143105  Fondo 0,7% IRPF. Cooperación internacional al desarrollo</t>
  </si>
  <si>
    <t xml:space="preserve">     900004 91100 4819 143107  Subvención a la Coordinadora ONGD de Navarra para coordinaci</t>
  </si>
  <si>
    <r>
      <t xml:space="preserve">     900004 91100 4819 143108  </t>
    </r>
    <r>
      <rPr>
        <sz val="10"/>
        <color rgb="FFFF0000"/>
        <rFont val="Arial"/>
        <family val="2"/>
      </rPr>
      <t>Subvención a ANARASD para la cooperación y solidaridad con el pueblo saharaui</t>
    </r>
  </si>
  <si>
    <t xml:space="preserve">     900004 91100 4819 143109  Subvención a ANAS para el programa de "Vacaciones en paz" de</t>
  </si>
  <si>
    <r>
      <rPr>
        <sz val="10"/>
        <color rgb="FFFF0000"/>
        <rFont val="Arial"/>
        <family val="2"/>
      </rPr>
      <t xml:space="preserve">     900004 91100 4819 143109 </t>
    </r>
    <r>
      <rPr>
        <sz val="10"/>
        <rFont val="Arial"/>
        <family val="2"/>
      </rPr>
      <t xml:space="preserve"> Subvención Delegación Navarra de UNWRA</t>
    </r>
  </si>
  <si>
    <r>
      <rPr>
        <sz val="10"/>
        <color rgb="FFFF0000"/>
        <rFont val="Arial"/>
        <family val="2"/>
      </rPr>
      <t xml:space="preserve">     900004 91100 4819 143109</t>
    </r>
    <r>
      <rPr>
        <sz val="10"/>
        <rFont val="Arial"/>
        <family val="2"/>
      </rPr>
      <t xml:space="preserve">  Subvención a Delegación Navarra de ACNUR</t>
    </r>
  </si>
  <si>
    <r>
      <rPr>
        <sz val="10"/>
        <color rgb="FFFF0000"/>
        <rFont val="Arial"/>
        <family val="2"/>
      </rPr>
      <t xml:space="preserve">     900004 91100 4819 143109</t>
    </r>
    <r>
      <rPr>
        <sz val="10"/>
        <rFont val="Arial"/>
        <family val="2"/>
      </rPr>
      <t xml:space="preserve">  Subvención a Comité Navarra de UNICEF</t>
    </r>
  </si>
  <si>
    <t>PROPUESTA 2022</t>
  </si>
  <si>
    <t>Apoyo a la CONGD de Navarra en su función de coordinación y formación</t>
  </si>
  <si>
    <t>Programa de sensibilización de jóvenes en la solidaridad: ve, participa y cuéntanos.</t>
  </si>
  <si>
    <t>ONGDs</t>
  </si>
  <si>
    <t>2.1. Convocatoria abierta de respuesta inmediata</t>
  </si>
  <si>
    <t>Agencia De NNUU</t>
  </si>
  <si>
    <t>ANARASD</t>
  </si>
  <si>
    <t>Se puede financiar hasta 100% del coste total del proyecto. Convocatoria de evaluación individualizada</t>
  </si>
  <si>
    <t>2.2. Subvención Delegación Navarra de UNWRA</t>
  </si>
  <si>
    <t>2.3. Subvención comité Navarra de UNICEF</t>
  </si>
  <si>
    <t>2.4. Subvención delegación Navarra ACNUR</t>
  </si>
  <si>
    <t>2.5. Programa apoyo a las Familias Navarras "Vacaciones en Paz"</t>
  </si>
  <si>
    <t>2.6. Subvención a ANARASD para la cooperación y solidaridad con el pueblo saharahui</t>
  </si>
  <si>
    <t>3.1. Subvención a ANARASD para la cooperación y solidaridad con el pueblo saharahui</t>
  </si>
  <si>
    <t>3.2. Proyectos de actores especializados</t>
  </si>
  <si>
    <t>3.3.Convenio con la Coordinadora ONGd</t>
  </si>
  <si>
    <t>4.1.Convenio con la Coordinadora de ONGD</t>
  </si>
  <si>
    <t>4.2.Programa Jóvenes</t>
  </si>
  <si>
    <t>4.3. EpD en el ámbito Formal</t>
  </si>
  <si>
    <t xml:space="preserve">4.5. EpD en el ámbito No Formal </t>
  </si>
  <si>
    <t xml:space="preserve">4.6. Sensibilización </t>
  </si>
  <si>
    <t>4.7. Premio Internacional Navarra a la Solidaridad</t>
  </si>
  <si>
    <t>Actuaciones no discriminatorias en favor de las poblaciones, en particular las más vulnerables de los países en desarrollo, dirigidas a situaciones límite provocadas por catástrofes naturales o conflictos de origen humano. Su objetivo básico es la atención de las necesidades básicas e inmediatas de las personas y comunidades afectadas.</t>
  </si>
  <si>
    <t>Abierta y ampliable</t>
  </si>
  <si>
    <t>Apoyo a la delegación saharaui en Navarra</t>
  </si>
  <si>
    <t xml:space="preserve">Dentro del Acuerdo Marco con el Frente Polisarios se proponen intervenciones de acción humanitaria y de apoyo al pueblo saharaui que sobrevive en condiciones dramáticas en los campos de refugiados de Tindouf (Argelia) y en los territorios del Sahara Occidental </t>
  </si>
  <si>
    <t>Convocatoria para la recepción de candidaturas que visibilicen acciones significativas de solidaridad y cooperación al desarrollo</t>
  </si>
  <si>
    <t>Recogerán intervenciones dentro de un contexto general de Ayuda Humanitaria pudiendo ser en la fase de emergencia como en supuestos de crisis humanitarias crónicas y contextos de vulnerabilidad extrema. Las intervenciones darán respuesta a las necesidades inmediatas y contribuirán al desarrollo futuro, propiciando un impacto sostenible a largo plazo. (VARD)</t>
  </si>
  <si>
    <t xml:space="preserve">Hasta 200.000 € </t>
  </si>
  <si>
    <t>*    900004  Cooperación internacional al desarrollo</t>
  </si>
  <si>
    <t xml:space="preserve">     900004 91100 1210 143100  Retribuciones del personal contratado para cubrir plazas reservadas</t>
  </si>
  <si>
    <t xml:space="preserve">     900004 91100 2276 143102  Encargo a NASUVINSA-LURSAREA para elaboración de la estrategia de desarrollo sostenible de Navarra 2030</t>
  </si>
  <si>
    <t xml:space="preserve">     900004 91100 4819 143103  Respuesta inmediata a emergencias internacionales</t>
  </si>
  <si>
    <t xml:space="preserve">     900004 91100 4819 143105  Fondo 0,7%. Cooperación internacional al desarrollo</t>
  </si>
  <si>
    <t xml:space="preserve">     900004 91100 4819 143107  Subvención a la Coordinadora ONGD de Navarra para coordinación y EpD</t>
  </si>
  <si>
    <t xml:space="preserve">     900004 91100 4819 143108  Subvención a ANARASD para proyectos de cooperación y solidaridad con la población saharaui</t>
  </si>
  <si>
    <t xml:space="preserve">     900004 91100 4819 143109  Subvención a ANAS para el programa de ""Vacaciones en paz" de menores saharauis</t>
  </si>
  <si>
    <t xml:space="preserve">     900004 91100 4819 143110  Proyectos de Acción Humanitaria de la Delegación Navarra de UNRWA</t>
  </si>
  <si>
    <t xml:space="preserve">     900004 91100 4819 143111  Proyectos de Acción Humanitaria de la Delegación Navarra de ACNUR</t>
  </si>
  <si>
    <t xml:space="preserve">     900004 91100 4819 143112  Proyectos de Acción Humanitaria del Comité Navarra de UNICEF</t>
  </si>
  <si>
    <t>No distribuible</t>
  </si>
  <si>
    <t>EPD y Sensi</t>
  </si>
  <si>
    <t>Hasta  100.000 €</t>
  </si>
  <si>
    <t>Máximo 2 intervenciones por entidad (sin tener en cuenta lo solicitado en otras modalidades)</t>
  </si>
  <si>
    <t>Con el objetivo de fomentar esta modalidad de cooperación se propone aumentar la cuantía económica destinada a estas intervenciones así como el límite por proyecto. Además, no se limita la concurrencia respecto a otras modalidades de la convocatoria</t>
  </si>
  <si>
    <t>Hasta 80.000 €</t>
  </si>
  <si>
    <t>Convocatoria Plurianual (2023-2024-2025)</t>
  </si>
  <si>
    <t xml:space="preserve">Hasta 120.000 € </t>
  </si>
  <si>
    <t>Hasta 40.000 €</t>
  </si>
  <si>
    <t xml:space="preserve">Cada entidad podrá concurrir con un Máximo de 3 propuestas. Se computan las intervenciones  formando parte de una agrupación de entidades. En PROGRAMAS  Se tendrán en cuenta los  concedidos  en convocatorias anteriores y que tengan compromiso en 2024 (individual o en agrupación) Ejemplo: si una entidad o agrupación ya tiene un programa concedido con presupuesto de gasto en 2024,  esa entidad podrá solicitar tan solo 2 programas, y si tiene dos concedidos, solo podrá solicitar 1). Las Entidades que soliciten financiación para Programas no podrán solicitar para Microacciones.             </t>
  </si>
  <si>
    <t>Se ha tenido en cuenta el % definido para cada agencia</t>
  </si>
  <si>
    <t xml:space="preserve">La cuantía convocada coincide con el Presupuesto de la Partida del O,7%,  más 2.363.657€ de la partida general. Se favorecen prioridades secotriales y geográficas según III Plan Director de Navarra. Se podrá financiar hasta el 100% del coste total. </t>
  </si>
  <si>
    <t>Máx. 40.000 € ONGD, ó 25.000 € Universidad (Total plurianual: 550000 distribuídos en 2024: 225.000€ y 2025: 325.000€)</t>
  </si>
  <si>
    <t>Máx 40.000 €</t>
  </si>
  <si>
    <t>Máx 30.000 € o 35.000 € en agrupación</t>
  </si>
  <si>
    <t>Ejec. 2024</t>
  </si>
  <si>
    <t>Prop. 2025</t>
  </si>
  <si>
    <t>Convocatoria Plurianual (2024-2025-2026)</t>
  </si>
  <si>
    <t>Convocatoria Plurianual 2025-2026-2027)</t>
  </si>
  <si>
    <t>Convocatoria Plurianual(2023-2024)(2024-2025)</t>
  </si>
  <si>
    <t>Convocatoria Plurianual (2025-2026)</t>
  </si>
  <si>
    <t>(14 EpD Formal concedidos en 2024)</t>
  </si>
  <si>
    <t>Comprometido</t>
  </si>
  <si>
    <t>MIcroacciones==O1*3%</t>
  </si>
  <si>
    <t>PROPUESTA  DE DISTRIBUCIÓN DE AOD DISTRIBUIBLE POR MODALIDAD E INSTRUMENTO, 2025</t>
  </si>
  <si>
    <t>AOD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</si>
</sst>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#,##0\ &quot;€&quot;;\-#,##0\ &quot;€&quot;"/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_-;#,##0.00\-"/>
    <numFmt numFmtId="166" formatCode="#,##0\ &quot;€&quot;"/>
    <numFmt numFmtId="167" formatCode="#,##0.00_ ;\-#,##0.00\ "/>
    <numFmt numFmtId="168" formatCode="0.0%"/>
    <numFmt numFmtId="169" formatCode="#,##0.00\ &quot;€&quot;"/>
    <numFmt numFmtId="170" formatCode="#,##0_ ;\-#,##0\ "/>
  </numFmts>
  <fonts count="2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57"/>
      <name val="Arial"/>
      <family val="2"/>
    </font>
    <font>
      <sz val="9"/>
      <color indexed="57"/>
      <name val="Arial"/>
      <family val="2"/>
    </font>
    <font>
      <sz val="9"/>
      <color indexed="10"/>
      <name val="Arial"/>
      <family val="2"/>
    </font>
    <font>
      <b/>
      <sz val="16"/>
      <name val="Calibri"/>
      <family val="2"/>
    </font>
    <font>
      <sz val="8"/>
      <name val="Calibri"/>
      <family val="2"/>
    </font>
    <font>
      <b/>
      <sz val="9"/>
      <color indexed="18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Calibri"/>
      <family val="2"/>
    </font>
    <font>
      <sz val="9"/>
      <name val="Calibri"/>
      <family val="2"/>
    </font>
    <font>
      <sz val="9"/>
      <color rgb="FF808080"/>
      <name val="Calibri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Calibri"/>
      <family val="2"/>
    </font>
    <font>
      <sz val="8"/>
      <color rgb="FFFF0000"/>
      <name val="Calibri"/>
      <family val="2"/>
    </font>
    <font>
      <sz val="9"/>
      <name val="Times New Roman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253">
    <xf numFmtId="0" fontId="0" fillId="0" borderId="0" xfId="0"/>
    <xf numFmtId="49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 wrapText="1"/>
    </xf>
    <xf numFmtId="165" fontId="2" fillId="0" borderId="1" xfId="0" applyNumberFormat="1" applyFont="1" applyBorder="1"/>
    <xf numFmtId="165" fontId="3" fillId="0" borderId="1" xfId="0" applyNumberFormat="1" applyFont="1" applyBorder="1"/>
    <xf numFmtId="4" fontId="3" fillId="0" borderId="1" xfId="0" applyNumberFormat="1" applyFont="1" applyBorder="1"/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0" fontId="6" fillId="0" borderId="1" xfId="0" applyFont="1" applyBorder="1"/>
    <xf numFmtId="49" fontId="8" fillId="2" borderId="1" xfId="0" applyNumberFormat="1" applyFont="1" applyFill="1" applyBorder="1" applyAlignment="1">
      <alignment horizontal="left"/>
    </xf>
    <xf numFmtId="4" fontId="8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165" fontId="9" fillId="0" borderId="1" xfId="0" applyNumberFormat="1" applyFont="1" applyBorder="1"/>
    <xf numFmtId="49" fontId="7" fillId="2" borderId="1" xfId="0" applyNumberFormat="1" applyFont="1" applyFill="1" applyBorder="1" applyAlignment="1">
      <alignment horizontal="left"/>
    </xf>
    <xf numFmtId="0" fontId="7" fillId="0" borderId="1" xfId="0" applyFont="1" applyBorder="1"/>
    <xf numFmtId="49" fontId="10" fillId="0" borderId="1" xfId="0" applyNumberFormat="1" applyFont="1" applyBorder="1" applyAlignment="1">
      <alignment horizontal="left"/>
    </xf>
    <xf numFmtId="165" fontId="10" fillId="0" borderId="1" xfId="0" applyNumberFormat="1" applyFont="1" applyBorder="1"/>
    <xf numFmtId="9" fontId="0" fillId="0" borderId="0" xfId="4" applyFont="1"/>
    <xf numFmtId="0" fontId="12" fillId="3" borderId="2" xfId="0" applyFont="1" applyFill="1" applyBorder="1" applyAlignment="1">
      <alignment vertical="center" wrapText="1"/>
    </xf>
    <xf numFmtId="166" fontId="12" fillId="3" borderId="3" xfId="0" applyNumberFormat="1" applyFont="1" applyFill="1" applyBorder="1" applyAlignment="1">
      <alignment vertical="center" wrapText="1"/>
    </xf>
    <xf numFmtId="0" fontId="12" fillId="4" borderId="6" xfId="0" applyFont="1" applyFill="1" applyBorder="1" applyAlignment="1">
      <alignment wrapText="1"/>
    </xf>
    <xf numFmtId="166" fontId="12" fillId="4" borderId="3" xfId="0" applyNumberFormat="1" applyFont="1" applyFill="1" applyBorder="1" applyAlignment="1">
      <alignment horizont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6" fontId="12" fillId="4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166" fontId="12" fillId="5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5" xfId="4" applyFont="1" applyFill="1" applyBorder="1" applyAlignment="1">
      <alignment horizontal="left"/>
    </xf>
    <xf numFmtId="9" fontId="0" fillId="0" borderId="4" xfId="4" applyFont="1" applyFill="1" applyBorder="1" applyAlignment="1">
      <alignment horizontal="left"/>
    </xf>
    <xf numFmtId="0" fontId="13" fillId="6" borderId="3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3" borderId="11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vertical="center"/>
    </xf>
    <xf numFmtId="3" fontId="17" fillId="7" borderId="15" xfId="0" applyNumberFormat="1" applyFont="1" applyFill="1" applyBorder="1" applyAlignment="1">
      <alignment horizontal="right" vertical="center"/>
    </xf>
    <xf numFmtId="49" fontId="5" fillId="7" borderId="1" xfId="0" applyNumberFormat="1" applyFont="1" applyFill="1" applyBorder="1" applyAlignment="1">
      <alignment horizontal="center"/>
    </xf>
    <xf numFmtId="164" fontId="3" fillId="7" borderId="1" xfId="1" applyFont="1" applyFill="1" applyBorder="1" applyAlignment="1"/>
    <xf numFmtId="165" fontId="5" fillId="7" borderId="1" xfId="0" applyNumberFormat="1" applyFont="1" applyFill="1" applyBorder="1" applyAlignment="1">
      <alignment horizontal="center"/>
    </xf>
    <xf numFmtId="0" fontId="1" fillId="7" borderId="0" xfId="0" applyFont="1" applyFill="1"/>
    <xf numFmtId="164" fontId="0" fillId="0" borderId="0" xfId="1" applyFont="1"/>
    <xf numFmtId="2" fontId="0" fillId="0" borderId="0" xfId="0" applyNumberFormat="1"/>
    <xf numFmtId="166" fontId="12" fillId="4" borderId="1" xfId="0" applyNumberFormat="1" applyFont="1" applyFill="1" applyBorder="1" applyAlignment="1">
      <alignment horizontal="center" vertical="center" wrapText="1"/>
    </xf>
    <xf numFmtId="4" fontId="12" fillId="4" borderId="3" xfId="0" applyNumberFormat="1" applyFont="1" applyFill="1" applyBorder="1" applyAlignment="1">
      <alignment horizontal="center" vertical="center" wrapText="1"/>
    </xf>
    <xf numFmtId="44" fontId="0" fillId="0" borderId="0" xfId="2" applyFont="1"/>
    <xf numFmtId="4" fontId="0" fillId="0" borderId="1" xfId="0" applyNumberFormat="1" applyBorder="1"/>
    <xf numFmtId="10" fontId="1" fillId="0" borderId="1" xfId="4" applyNumberFormat="1" applyFont="1" applyBorder="1"/>
    <xf numFmtId="10" fontId="0" fillId="0" borderId="1" xfId="4" applyNumberFormat="1" applyFont="1" applyBorder="1"/>
    <xf numFmtId="0" fontId="12" fillId="4" borderId="7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vertical="center" wrapText="1"/>
    </xf>
    <xf numFmtId="0" fontId="14" fillId="4" borderId="12" xfId="0" applyFont="1" applyFill="1" applyBorder="1" applyAlignment="1">
      <alignment vertical="center" wrapText="1"/>
    </xf>
    <xf numFmtId="3" fontId="12" fillId="4" borderId="4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7" fontId="19" fillId="0" borderId="9" xfId="1" applyNumberFormat="1" applyFont="1" applyFill="1" applyBorder="1"/>
    <xf numFmtId="0" fontId="12" fillId="8" borderId="2" xfId="0" applyFont="1" applyFill="1" applyBorder="1" applyAlignment="1">
      <alignment vertical="center" wrapText="1"/>
    </xf>
    <xf numFmtId="0" fontId="12" fillId="8" borderId="2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8" borderId="2" xfId="0" applyFont="1" applyFill="1" applyBorder="1" applyAlignment="1">
      <alignment horizontal="center" vertical="center" wrapText="1"/>
    </xf>
    <xf numFmtId="166" fontId="12" fillId="8" borderId="1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Continuous" vertical="center" wrapText="1"/>
    </xf>
    <xf numFmtId="0" fontId="12" fillId="4" borderId="17" xfId="0" applyFont="1" applyFill="1" applyBorder="1" applyAlignment="1">
      <alignment horizontal="center" vertical="center" wrapText="1"/>
    </xf>
    <xf numFmtId="6" fontId="12" fillId="4" borderId="17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0" fillId="0" borderId="1" xfId="0" applyBorder="1" applyAlignment="1">
      <alignment horizontal="center"/>
    </xf>
    <xf numFmtId="165" fontId="7" fillId="0" borderId="1" xfId="0" applyNumberFormat="1" applyFont="1" applyBorder="1" applyAlignment="1">
      <alignment horizontal="left"/>
    </xf>
    <xf numFmtId="10" fontId="0" fillId="0" borderId="0" xfId="4" applyNumberFormat="1" applyFont="1" applyFill="1"/>
    <xf numFmtId="0" fontId="14" fillId="10" borderId="15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1" fillId="11" borderId="22" xfId="0" applyFont="1" applyFill="1" applyBorder="1" applyAlignment="1">
      <alignment horizontal="left" vertical="center" wrapText="1"/>
    </xf>
    <xf numFmtId="164" fontId="14" fillId="10" borderId="15" xfId="1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left"/>
    </xf>
    <xf numFmtId="167" fontId="0" fillId="0" borderId="0" xfId="0" applyNumberFormat="1"/>
    <xf numFmtId="168" fontId="0" fillId="0" borderId="0" xfId="4" applyNumberFormat="1" applyFont="1"/>
    <xf numFmtId="49" fontId="4" fillId="12" borderId="12" xfId="3" applyNumberFormat="1" applyFill="1" applyBorder="1" applyAlignment="1">
      <alignment horizontal="left"/>
    </xf>
    <xf numFmtId="165" fontId="4" fillId="12" borderId="12" xfId="3" applyNumberFormat="1" applyFill="1" applyBorder="1"/>
    <xf numFmtId="49" fontId="1" fillId="12" borderId="12" xfId="3" applyNumberFormat="1" applyFont="1" applyFill="1" applyBorder="1" applyAlignment="1">
      <alignment horizontal="left"/>
    </xf>
    <xf numFmtId="0" fontId="12" fillId="4" borderId="10" xfId="0" applyFont="1" applyFill="1" applyBorder="1" applyAlignment="1">
      <alignment wrapText="1"/>
    </xf>
    <xf numFmtId="166" fontId="12" fillId="4" borderId="16" xfId="0" applyNumberFormat="1" applyFont="1" applyFill="1" applyBorder="1" applyAlignment="1">
      <alignment horizontal="center" wrapText="1"/>
    </xf>
    <xf numFmtId="5" fontId="12" fillId="5" borderId="1" xfId="1" applyNumberFormat="1" applyFont="1" applyFill="1" applyBorder="1" applyAlignment="1">
      <alignment horizontal="right" vertical="center" wrapText="1"/>
    </xf>
    <xf numFmtId="0" fontId="25" fillId="4" borderId="1" xfId="0" applyFont="1" applyFill="1" applyBorder="1" applyAlignment="1">
      <alignment horizontal="center" vertical="center" wrapText="1"/>
    </xf>
    <xf numFmtId="166" fontId="25" fillId="4" borderId="1" xfId="0" applyNumberFormat="1" applyFont="1" applyFill="1" applyBorder="1" applyAlignment="1">
      <alignment horizontal="right" vertical="center" wrapText="1"/>
    </xf>
    <xf numFmtId="0" fontId="12" fillId="5" borderId="2" xfId="0" applyFont="1" applyFill="1" applyBorder="1" applyAlignment="1">
      <alignment horizontal="left" vertical="center" wrapText="1"/>
    </xf>
    <xf numFmtId="5" fontId="12" fillId="5" borderId="3" xfId="1" applyNumberFormat="1" applyFont="1" applyFill="1" applyBorder="1" applyAlignment="1">
      <alignment horizontal="right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66" fontId="12" fillId="8" borderId="3" xfId="0" applyNumberFormat="1" applyFont="1" applyFill="1" applyBorder="1" applyAlignment="1">
      <alignment horizontal="center" vertical="center" wrapText="1"/>
    </xf>
    <xf numFmtId="49" fontId="0" fillId="13" borderId="1" xfId="0" applyNumberFormat="1" applyFill="1" applyBorder="1" applyAlignment="1">
      <alignment horizontal="left"/>
    </xf>
    <xf numFmtId="165" fontId="0" fillId="13" borderId="1" xfId="0" applyNumberFormat="1" applyFill="1" applyBorder="1"/>
    <xf numFmtId="49" fontId="0" fillId="0" borderId="12" xfId="0" applyNumberFormat="1" applyBorder="1" applyAlignment="1">
      <alignment horizontal="left"/>
    </xf>
    <xf numFmtId="165" fontId="0" fillId="12" borderId="12" xfId="0" applyNumberFormat="1" applyFill="1" applyBorder="1"/>
    <xf numFmtId="166" fontId="0" fillId="14" borderId="0" xfId="0" applyNumberFormat="1" applyFill="1"/>
    <xf numFmtId="164" fontId="0" fillId="0" borderId="0" xfId="0" applyNumberFormat="1"/>
    <xf numFmtId="0" fontId="26" fillId="5" borderId="1" xfId="0" applyFont="1" applyFill="1" applyBorder="1" applyAlignment="1">
      <alignment horizontal="left" vertical="center" wrapText="1"/>
    </xf>
    <xf numFmtId="0" fontId="26" fillId="5" borderId="2" xfId="0" applyFont="1" applyFill="1" applyBorder="1" applyAlignment="1">
      <alignment horizontal="left" vertical="center" wrapText="1"/>
    </xf>
    <xf numFmtId="0" fontId="26" fillId="8" borderId="2" xfId="0" applyFont="1" applyFill="1" applyBorder="1" applyAlignment="1">
      <alignment horizontal="center" vertical="center" wrapText="1"/>
    </xf>
    <xf numFmtId="166" fontId="26" fillId="4" borderId="16" xfId="0" applyNumberFormat="1" applyFont="1" applyFill="1" applyBorder="1" applyAlignment="1">
      <alignment horizont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3" fontId="0" fillId="0" borderId="0" xfId="0" applyNumberFormat="1"/>
    <xf numFmtId="169" fontId="0" fillId="0" borderId="10" xfId="0" applyNumberFormat="1" applyBorder="1"/>
    <xf numFmtId="170" fontId="19" fillId="0" borderId="0" xfId="1" applyNumberFormat="1" applyFont="1" applyFill="1" applyBorder="1"/>
    <xf numFmtId="170" fontId="19" fillId="0" borderId="11" xfId="1" applyNumberFormat="1" applyFont="1" applyFill="1" applyBorder="1"/>
    <xf numFmtId="5" fontId="0" fillId="0" borderId="0" xfId="0" applyNumberFormat="1"/>
    <xf numFmtId="0" fontId="0" fillId="14" borderId="0" xfId="0" applyFill="1"/>
    <xf numFmtId="0" fontId="1" fillId="14" borderId="0" xfId="0" applyFont="1" applyFill="1"/>
    <xf numFmtId="2" fontId="0" fillId="14" borderId="0" xfId="0" applyNumberFormat="1" applyFill="1"/>
    <xf numFmtId="49" fontId="27" fillId="14" borderId="8" xfId="3" applyNumberFormat="1" applyFont="1" applyFill="1" applyBorder="1" applyAlignment="1">
      <alignment horizontal="left" wrapText="1" indent="1"/>
    </xf>
    <xf numFmtId="166" fontId="12" fillId="3" borderId="3" xfId="0" applyNumberFormat="1" applyFont="1" applyFill="1" applyBorder="1" applyAlignment="1">
      <alignment horizontal="center" vertical="center" wrapText="1"/>
    </xf>
    <xf numFmtId="166" fontId="12" fillId="4" borderId="3" xfId="0" applyNumberFormat="1" applyFont="1" applyFill="1" applyBorder="1" applyAlignment="1">
      <alignment wrapText="1"/>
    </xf>
    <xf numFmtId="166" fontId="12" fillId="8" borderId="1" xfId="0" applyNumberFormat="1" applyFont="1" applyFill="1" applyBorder="1" applyAlignment="1">
      <alignment vertical="center" wrapText="1"/>
    </xf>
    <xf numFmtId="166" fontId="12" fillId="4" borderId="1" xfId="0" applyNumberFormat="1" applyFont="1" applyFill="1" applyBorder="1" applyAlignment="1">
      <alignment horizontal="right" vertical="center" wrapText="1"/>
    </xf>
    <xf numFmtId="166" fontId="12" fillId="8" borderId="3" xfId="0" applyNumberFormat="1" applyFont="1" applyFill="1" applyBorder="1" applyAlignment="1">
      <alignment vertical="center" wrapText="1"/>
    </xf>
    <xf numFmtId="166" fontId="12" fillId="4" borderId="12" xfId="0" applyNumberFormat="1" applyFont="1" applyFill="1" applyBorder="1" applyAlignment="1">
      <alignment wrapText="1"/>
    </xf>
    <xf numFmtId="5" fontId="12" fillId="5" borderId="1" xfId="1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166" fontId="12" fillId="3" borderId="2" xfId="0" applyNumberFormat="1" applyFont="1" applyFill="1" applyBorder="1" applyAlignment="1">
      <alignment horizontal="center" vertical="center" wrapText="1"/>
    </xf>
    <xf numFmtId="166" fontId="12" fillId="3" borderId="3" xfId="0" applyNumberFormat="1" applyFont="1" applyFill="1" applyBorder="1" applyAlignment="1">
      <alignment horizontal="center" vertical="center" wrapText="1"/>
    </xf>
    <xf numFmtId="166" fontId="12" fillId="3" borderId="2" xfId="0" applyNumberFormat="1" applyFont="1" applyFill="1" applyBorder="1" applyAlignment="1">
      <alignment horizontal="right" vertical="center"/>
    </xf>
    <xf numFmtId="166" fontId="12" fillId="3" borderId="3" xfId="0" applyNumberFormat="1" applyFont="1" applyFill="1" applyBorder="1" applyAlignment="1">
      <alignment horizontal="right" vertical="center"/>
    </xf>
    <xf numFmtId="0" fontId="12" fillId="12" borderId="2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6" fontId="20" fillId="0" borderId="7" xfId="0" applyNumberFormat="1" applyFont="1" applyBorder="1" applyAlignment="1">
      <alignment horizontal="left" vertical="center" wrapText="1"/>
    </xf>
    <xf numFmtId="166" fontId="20" fillId="0" borderId="6" xfId="0" applyNumberFormat="1" applyFont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66" fontId="12" fillId="4" borderId="2" xfId="0" applyNumberFormat="1" applyFont="1" applyFill="1" applyBorder="1" applyAlignment="1">
      <alignment horizontal="center" vertical="center"/>
    </xf>
    <xf numFmtId="166" fontId="12" fillId="4" borderId="3" xfId="0" applyNumberFormat="1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4" fontId="12" fillId="4" borderId="2" xfId="0" applyNumberFormat="1" applyFont="1" applyFill="1" applyBorder="1" applyAlignment="1">
      <alignment horizontal="center" vertical="center" wrapText="1"/>
    </xf>
    <xf numFmtId="4" fontId="12" fillId="4" borderId="12" xfId="0" applyNumberFormat="1" applyFont="1" applyFill="1" applyBorder="1" applyAlignment="1">
      <alignment horizontal="center" vertical="center" wrapText="1"/>
    </xf>
    <xf numFmtId="4" fontId="12" fillId="4" borderId="3" xfId="0" applyNumberFormat="1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7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49" fontId="7" fillId="2" borderId="17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/>
    </xf>
    <xf numFmtId="4" fontId="7" fillId="0" borderId="17" xfId="0" applyNumberFormat="1" applyFont="1" applyBorder="1" applyAlignment="1">
      <alignment horizontal="left"/>
    </xf>
    <xf numFmtId="4" fontId="7" fillId="0" borderId="7" xfId="0" applyNumberFormat="1" applyFont="1" applyBorder="1" applyAlignment="1">
      <alignment horizontal="left"/>
    </xf>
    <xf numFmtId="4" fontId="7" fillId="0" borderId="6" xfId="0" applyNumberFormat="1" applyFont="1" applyBorder="1" applyAlignment="1">
      <alignment horizontal="left"/>
    </xf>
    <xf numFmtId="165" fontId="5" fillId="0" borderId="17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5" fontId="7" fillId="0" borderId="17" xfId="0" applyNumberFormat="1" applyFont="1" applyBorder="1" applyAlignment="1">
      <alignment horizontal="left"/>
    </xf>
    <xf numFmtId="165" fontId="7" fillId="0" borderId="7" xfId="0" applyNumberFormat="1" applyFont="1" applyBorder="1" applyAlignment="1">
      <alignment horizontal="left"/>
    </xf>
    <xf numFmtId="165" fontId="7" fillId="0" borderId="6" xfId="0" applyNumberFormat="1" applyFont="1" applyBorder="1" applyAlignment="1">
      <alignment horizontal="left"/>
    </xf>
    <xf numFmtId="0" fontId="0" fillId="0" borderId="7" xfId="0" applyBorder="1" applyAlignment="1">
      <alignment horizontal="center"/>
    </xf>
    <xf numFmtId="0" fontId="14" fillId="10" borderId="28" xfId="0" applyFont="1" applyFill="1" applyBorder="1" applyAlignment="1">
      <alignment horizontal="center" vertical="center" wrapText="1"/>
    </xf>
    <xf numFmtId="0" fontId="14" fillId="10" borderId="24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left" vertical="center" wrapText="1"/>
    </xf>
    <xf numFmtId="0" fontId="14" fillId="10" borderId="14" xfId="0" applyFont="1" applyFill="1" applyBorder="1" applyAlignment="1">
      <alignment horizontal="left" vertical="center" wrapText="1"/>
    </xf>
    <xf numFmtId="0" fontId="14" fillId="10" borderId="20" xfId="0" applyFont="1" applyFill="1" applyBorder="1" applyAlignment="1">
      <alignment horizontal="left" vertical="center" wrapText="1"/>
    </xf>
    <xf numFmtId="0" fontId="21" fillId="11" borderId="19" xfId="0" applyFont="1" applyFill="1" applyBorder="1" applyAlignment="1">
      <alignment horizontal="left" vertical="center" wrapText="1"/>
    </xf>
    <xf numFmtId="0" fontId="21" fillId="11" borderId="14" xfId="0" applyFont="1" applyFill="1" applyBorder="1" applyAlignment="1">
      <alignment horizontal="left" vertical="center" wrapText="1"/>
    </xf>
    <xf numFmtId="0" fontId="21" fillId="11" borderId="20" xfId="0" applyFont="1" applyFill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14" fillId="9" borderId="19" xfId="0" applyFont="1" applyFill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 wrapText="1"/>
    </xf>
    <xf numFmtId="0" fontId="14" fillId="9" borderId="20" xfId="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14" fillId="9" borderId="23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164" fontId="14" fillId="10" borderId="26" xfId="1" applyFont="1" applyFill="1" applyBorder="1" applyAlignment="1">
      <alignment horizontal="center" vertical="center" wrapText="1"/>
    </xf>
    <xf numFmtId="164" fontId="14" fillId="10" borderId="27" xfId="1" applyFont="1" applyFill="1" applyBorder="1" applyAlignment="1">
      <alignment horizontal="center" vertical="center" wrapText="1"/>
    </xf>
    <xf numFmtId="164" fontId="14" fillId="10" borderId="21" xfId="1" applyFont="1" applyFill="1" applyBorder="1" applyAlignment="1">
      <alignment horizontal="center" vertical="center" wrapText="1"/>
    </xf>
    <xf numFmtId="0" fontId="14" fillId="10" borderId="26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14" fillId="10" borderId="21" xfId="0" applyFont="1" applyFill="1" applyBorder="1" applyAlignment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2" xfId="3" xr:uid="{00000000-0005-0000-0000-000003000000}"/>
    <cellStyle name="Porcentaje" xfId="4" builtinId="5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38100</xdr:rowOff>
    </xdr:from>
    <xdr:to>
      <xdr:col>10</xdr:col>
      <xdr:colOff>1657350</xdr:colOff>
      <xdr:row>2</xdr:row>
      <xdr:rowOff>152400</xdr:rowOff>
    </xdr:to>
    <xdr:pic>
      <xdr:nvPicPr>
        <xdr:cNvPr id="1025" name="1 Imagen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43950" y="38100"/>
          <a:ext cx="48291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ersonalizado 1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zoomScale="120" zoomScaleNormal="120" zoomScalePageLayoutView="80" workbookViewId="0">
      <selection activeCell="D11" sqref="D11"/>
    </sheetView>
  </sheetViews>
  <sheetFormatPr baseColWidth="10" defaultColWidth="11.42578125" defaultRowHeight="12.75" x14ac:dyDescent="0.2"/>
  <cols>
    <col min="1" max="1" width="14.28515625" customWidth="1"/>
    <col min="2" max="2" width="24" customWidth="1"/>
    <col min="3" max="3" width="15.5703125" customWidth="1"/>
    <col min="4" max="4" width="44.42578125" customWidth="1"/>
    <col min="5" max="5" width="12.5703125" style="37" customWidth="1"/>
    <col min="6" max="6" width="13.7109375" style="37" customWidth="1"/>
    <col min="7" max="7" width="14.85546875" bestFit="1" customWidth="1"/>
    <col min="8" max="8" width="15.28515625" bestFit="1" customWidth="1"/>
    <col min="9" max="9" width="18" customWidth="1"/>
    <col min="10" max="10" width="8.42578125" customWidth="1"/>
    <col min="11" max="11" width="35.7109375" customWidth="1"/>
    <col min="12" max="12" width="11.140625" bestFit="1" customWidth="1"/>
  </cols>
  <sheetData>
    <row r="1" spans="1:12" x14ac:dyDescent="0.2">
      <c r="A1" s="143" t="s">
        <v>218</v>
      </c>
      <c r="B1" s="144"/>
      <c r="C1" s="65">
        <f>C2+C3</f>
        <v>20247521.579999998</v>
      </c>
      <c r="D1" s="117"/>
      <c r="E1" s="149"/>
      <c r="F1" s="150"/>
      <c r="G1" s="150"/>
      <c r="H1" s="150"/>
      <c r="I1" s="150"/>
      <c r="J1" s="150"/>
      <c r="K1" s="151"/>
    </row>
    <row r="2" spans="1:12" x14ac:dyDescent="0.2">
      <c r="A2" s="145" t="s">
        <v>57</v>
      </c>
      <c r="B2" s="146"/>
      <c r="C2" s="118">
        <f>J4</f>
        <v>19517100</v>
      </c>
      <c r="D2" s="38">
        <f>C2/C1</f>
        <v>0.96392538330609856</v>
      </c>
      <c r="E2" s="152"/>
      <c r="F2" s="153"/>
      <c r="G2" s="153"/>
      <c r="H2" s="153"/>
      <c r="I2" s="153"/>
      <c r="J2" s="153"/>
      <c r="K2" s="154"/>
    </row>
    <row r="3" spans="1:12" x14ac:dyDescent="0.2">
      <c r="A3" s="147" t="s">
        <v>58</v>
      </c>
      <c r="B3" s="148"/>
      <c r="C3" s="119">
        <v>730421.58</v>
      </c>
      <c r="D3" s="39">
        <f>C3/C1</f>
        <v>3.6074616693901558E-2</v>
      </c>
      <c r="E3" s="155"/>
      <c r="F3" s="156"/>
      <c r="G3" s="156"/>
      <c r="H3" s="156"/>
      <c r="I3" s="156"/>
      <c r="J3" s="156"/>
      <c r="K3" s="157"/>
    </row>
    <row r="4" spans="1:12" ht="28.5" customHeight="1" x14ac:dyDescent="0.2">
      <c r="A4" s="158" t="s">
        <v>217</v>
      </c>
      <c r="B4" s="159"/>
      <c r="C4" s="159"/>
      <c r="D4" s="159"/>
      <c r="E4" s="159"/>
      <c r="F4" s="159"/>
      <c r="G4" s="159"/>
      <c r="H4" s="159"/>
      <c r="I4" s="159"/>
      <c r="J4" s="160">
        <f>+G31</f>
        <v>19517100</v>
      </c>
      <c r="K4" s="161"/>
    </row>
    <row r="5" spans="1:12" s="44" customFormat="1" ht="24" x14ac:dyDescent="0.2">
      <c r="A5" s="100" t="s">
        <v>2</v>
      </c>
      <c r="B5" s="40" t="s">
        <v>3</v>
      </c>
      <c r="C5" s="41" t="s">
        <v>4</v>
      </c>
      <c r="D5" s="40" t="s">
        <v>5</v>
      </c>
      <c r="E5" s="35" t="s">
        <v>16</v>
      </c>
      <c r="F5" s="35" t="s">
        <v>208</v>
      </c>
      <c r="G5" s="40" t="s">
        <v>209</v>
      </c>
      <c r="H5" s="42" t="s">
        <v>61</v>
      </c>
      <c r="I5" s="42" t="s">
        <v>6</v>
      </c>
      <c r="J5" s="42" t="s">
        <v>52</v>
      </c>
      <c r="K5" s="43" t="s">
        <v>7</v>
      </c>
    </row>
    <row r="6" spans="1:12" s="44" customFormat="1" ht="12.75" customHeight="1" x14ac:dyDescent="0.2">
      <c r="A6" s="162" t="s">
        <v>8</v>
      </c>
      <c r="B6" s="132" t="s">
        <v>46</v>
      </c>
      <c r="C6" s="132" t="s">
        <v>199</v>
      </c>
      <c r="D6" s="132" t="s">
        <v>53</v>
      </c>
      <c r="E6" s="132" t="s">
        <v>11</v>
      </c>
      <c r="F6" s="139">
        <v>4313825</v>
      </c>
      <c r="G6" s="139">
        <v>4291127</v>
      </c>
      <c r="H6" s="137"/>
      <c r="I6" s="132" t="s">
        <v>202</v>
      </c>
      <c r="J6" s="132" t="s">
        <v>84</v>
      </c>
      <c r="K6" s="133" t="s">
        <v>85</v>
      </c>
    </row>
    <row r="7" spans="1:12" ht="33.75" customHeight="1" x14ac:dyDescent="0.2">
      <c r="A7" s="162"/>
      <c r="B7" s="133"/>
      <c r="C7" s="133"/>
      <c r="D7" s="133"/>
      <c r="E7" s="133"/>
      <c r="F7" s="140"/>
      <c r="G7" s="140"/>
      <c r="H7" s="138"/>
      <c r="I7" s="133"/>
      <c r="J7" s="133"/>
      <c r="K7" s="133"/>
      <c r="L7" s="75"/>
    </row>
    <row r="8" spans="1:12" ht="33.75" customHeight="1" x14ac:dyDescent="0.2">
      <c r="A8" s="162"/>
      <c r="B8" s="133"/>
      <c r="C8" s="36" t="s">
        <v>210</v>
      </c>
      <c r="D8" s="133"/>
      <c r="E8" s="133"/>
      <c r="F8" s="23">
        <v>2974934</v>
      </c>
      <c r="G8" s="23">
        <v>2974934</v>
      </c>
      <c r="H8" s="45"/>
      <c r="I8" s="133"/>
      <c r="J8" s="133"/>
      <c r="K8" s="133"/>
    </row>
    <row r="9" spans="1:12" ht="51.6" customHeight="1" x14ac:dyDescent="0.2">
      <c r="A9" s="162"/>
      <c r="B9" s="136"/>
      <c r="C9" s="36" t="s">
        <v>211</v>
      </c>
      <c r="D9" s="136"/>
      <c r="E9" s="133"/>
      <c r="F9" s="23"/>
      <c r="G9" s="23">
        <v>1600000</v>
      </c>
      <c r="H9" s="125" t="s">
        <v>181</v>
      </c>
      <c r="I9" s="133"/>
      <c r="J9" s="133"/>
      <c r="K9" s="136"/>
    </row>
    <row r="10" spans="1:12" ht="67.5" x14ac:dyDescent="0.2">
      <c r="A10" s="162"/>
      <c r="B10" s="22" t="s">
        <v>47</v>
      </c>
      <c r="C10" s="132" t="s">
        <v>10</v>
      </c>
      <c r="D10" s="32" t="s">
        <v>54</v>
      </c>
      <c r="E10" s="133"/>
      <c r="F10" s="23">
        <v>6118282</v>
      </c>
      <c r="G10" s="23">
        <v>5531012</v>
      </c>
      <c r="H10" s="125" t="s">
        <v>200</v>
      </c>
      <c r="I10" s="133"/>
      <c r="J10" s="133"/>
      <c r="K10" s="113" t="s">
        <v>204</v>
      </c>
    </row>
    <row r="11" spans="1:12" ht="91.9" customHeight="1" x14ac:dyDescent="0.2">
      <c r="A11" s="163"/>
      <c r="B11" s="22" t="s">
        <v>48</v>
      </c>
      <c r="C11" s="133"/>
      <c r="D11" s="36" t="s">
        <v>49</v>
      </c>
      <c r="E11" s="133"/>
      <c r="F11" s="23">
        <v>600000</v>
      </c>
      <c r="G11" s="23">
        <v>600000</v>
      </c>
      <c r="H11" s="125" t="s">
        <v>201</v>
      </c>
      <c r="I11" s="133"/>
      <c r="J11" s="133"/>
      <c r="K11" s="113" t="s">
        <v>86</v>
      </c>
    </row>
    <row r="12" spans="1:12" ht="87.75" customHeight="1" x14ac:dyDescent="0.2">
      <c r="A12" s="187" t="s">
        <v>13</v>
      </c>
      <c r="B12" s="30" t="s">
        <v>157</v>
      </c>
      <c r="C12" s="30" t="s">
        <v>9</v>
      </c>
      <c r="D12" s="101" t="s">
        <v>175</v>
      </c>
      <c r="E12" s="30" t="s">
        <v>14</v>
      </c>
      <c r="F12" s="94">
        <v>270000</v>
      </c>
      <c r="G12" s="94">
        <v>270000</v>
      </c>
      <c r="H12" s="131" t="s">
        <v>195</v>
      </c>
      <c r="I12" s="30"/>
      <c r="J12" s="30" t="s">
        <v>176</v>
      </c>
      <c r="K12" s="30" t="s">
        <v>160</v>
      </c>
    </row>
    <row r="13" spans="1:12" ht="30" customHeight="1" x14ac:dyDescent="0.2">
      <c r="A13" s="188"/>
      <c r="B13" s="30" t="s">
        <v>161</v>
      </c>
      <c r="C13" s="30" t="s">
        <v>12</v>
      </c>
      <c r="D13" s="184" t="s">
        <v>180</v>
      </c>
      <c r="E13" s="30" t="s">
        <v>158</v>
      </c>
      <c r="F13" s="94">
        <v>660000</v>
      </c>
      <c r="G13" s="94">
        <v>660000</v>
      </c>
      <c r="H13" s="94"/>
      <c r="I13" s="30">
        <v>1</v>
      </c>
      <c r="J13" s="30"/>
      <c r="K13" s="184" t="s">
        <v>203</v>
      </c>
    </row>
    <row r="14" spans="1:12" ht="22.5" x14ac:dyDescent="0.2">
      <c r="A14" s="188"/>
      <c r="B14" s="30" t="s">
        <v>162</v>
      </c>
      <c r="C14" s="30" t="s">
        <v>12</v>
      </c>
      <c r="D14" s="185"/>
      <c r="E14" s="30" t="s">
        <v>158</v>
      </c>
      <c r="F14" s="94">
        <v>760000</v>
      </c>
      <c r="G14" s="94">
        <v>760000</v>
      </c>
      <c r="H14" s="94"/>
      <c r="I14" s="30">
        <v>1</v>
      </c>
      <c r="J14" s="30"/>
      <c r="K14" s="185"/>
    </row>
    <row r="15" spans="1:12" ht="22.5" x14ac:dyDescent="0.2">
      <c r="A15" s="188"/>
      <c r="B15" s="30" t="s">
        <v>163</v>
      </c>
      <c r="C15" s="30" t="s">
        <v>12</v>
      </c>
      <c r="D15" s="186"/>
      <c r="E15" s="30" t="s">
        <v>158</v>
      </c>
      <c r="F15" s="94">
        <v>280000</v>
      </c>
      <c r="G15" s="94">
        <v>280000</v>
      </c>
      <c r="H15" s="94"/>
      <c r="I15" s="30">
        <v>1</v>
      </c>
      <c r="J15" s="30"/>
      <c r="K15" s="186"/>
    </row>
    <row r="16" spans="1:12" ht="45" x14ac:dyDescent="0.2">
      <c r="A16" s="188"/>
      <c r="B16" s="30" t="s">
        <v>164</v>
      </c>
      <c r="C16" s="30" t="s">
        <v>12</v>
      </c>
      <c r="D16" s="30" t="s">
        <v>50</v>
      </c>
      <c r="E16" s="30" t="s">
        <v>25</v>
      </c>
      <c r="F16" s="94">
        <v>65000</v>
      </c>
      <c r="G16" s="94">
        <v>67500</v>
      </c>
      <c r="H16" s="31"/>
      <c r="I16" s="30">
        <v>1</v>
      </c>
      <c r="J16" s="30" t="s">
        <v>84</v>
      </c>
      <c r="K16" s="109"/>
    </row>
    <row r="17" spans="1:11" ht="78.75" customHeight="1" x14ac:dyDescent="0.2">
      <c r="A17" s="188"/>
      <c r="B17" s="97" t="s">
        <v>165</v>
      </c>
      <c r="C17" s="141" t="s">
        <v>12</v>
      </c>
      <c r="D17" s="30" t="s">
        <v>178</v>
      </c>
      <c r="E17" s="141" t="s">
        <v>159</v>
      </c>
      <c r="F17" s="94">
        <v>465000</v>
      </c>
      <c r="G17" s="98">
        <v>467500</v>
      </c>
      <c r="H17" s="98" t="s">
        <v>62</v>
      </c>
      <c r="I17" s="141">
        <v>1</v>
      </c>
      <c r="J17" s="99"/>
      <c r="K17" s="110"/>
    </row>
    <row r="18" spans="1:11" ht="34.9" customHeight="1" x14ac:dyDescent="0.2">
      <c r="A18" s="189" t="s">
        <v>83</v>
      </c>
      <c r="B18" s="66" t="s">
        <v>166</v>
      </c>
      <c r="C18" s="142"/>
      <c r="D18" s="68" t="s">
        <v>177</v>
      </c>
      <c r="E18" s="142"/>
      <c r="F18" s="129">
        <v>20000</v>
      </c>
      <c r="G18" s="129">
        <v>20000</v>
      </c>
      <c r="H18" s="102">
        <v>20000</v>
      </c>
      <c r="I18" s="142"/>
      <c r="J18" s="72"/>
      <c r="K18" s="111"/>
    </row>
    <row r="19" spans="1:11" ht="112.5" x14ac:dyDescent="0.2">
      <c r="A19" s="189"/>
      <c r="B19" s="66" t="s">
        <v>167</v>
      </c>
      <c r="C19" s="67" t="s">
        <v>10</v>
      </c>
      <c r="D19" s="68" t="s">
        <v>82</v>
      </c>
      <c r="E19" s="70" t="s">
        <v>87</v>
      </c>
      <c r="F19" s="129">
        <v>560000</v>
      </c>
      <c r="G19" s="129">
        <v>560000</v>
      </c>
      <c r="H19" s="102" t="s">
        <v>198</v>
      </c>
      <c r="I19" s="68" t="s">
        <v>196</v>
      </c>
      <c r="J19" s="72"/>
      <c r="K19" s="70" t="s">
        <v>197</v>
      </c>
    </row>
    <row r="20" spans="1:11" ht="22.5" x14ac:dyDescent="0.2">
      <c r="A20" s="190"/>
      <c r="B20" s="66" t="s">
        <v>168</v>
      </c>
      <c r="C20" s="134" t="s">
        <v>12</v>
      </c>
      <c r="D20" s="69" t="s">
        <v>154</v>
      </c>
      <c r="E20" s="182" t="s">
        <v>56</v>
      </c>
      <c r="F20" s="127">
        <v>84500</v>
      </c>
      <c r="G20" s="127">
        <v>84500</v>
      </c>
      <c r="H20" s="71"/>
      <c r="I20" s="178">
        <v>1</v>
      </c>
      <c r="J20" s="179"/>
      <c r="K20" s="164"/>
    </row>
    <row r="21" spans="1:11" ht="22.5" customHeight="1" x14ac:dyDescent="0.2">
      <c r="A21" s="61" t="s">
        <v>17</v>
      </c>
      <c r="B21" s="24" t="s">
        <v>169</v>
      </c>
      <c r="C21" s="135"/>
      <c r="D21" s="33" t="s">
        <v>55</v>
      </c>
      <c r="E21" s="183"/>
      <c r="F21" s="126">
        <v>55500</v>
      </c>
      <c r="G21" s="126">
        <v>55500</v>
      </c>
      <c r="H21" s="25"/>
      <c r="I21" s="180"/>
      <c r="J21" s="181"/>
      <c r="K21" s="165"/>
    </row>
    <row r="22" spans="1:11" ht="22.5" customHeight="1" x14ac:dyDescent="0.2">
      <c r="A22" s="62"/>
      <c r="B22" s="92" t="s">
        <v>170</v>
      </c>
      <c r="C22" s="92" t="s">
        <v>10</v>
      </c>
      <c r="D22" s="33" t="s">
        <v>155</v>
      </c>
      <c r="E22" s="92" t="s">
        <v>156</v>
      </c>
      <c r="F22" s="130">
        <v>85000</v>
      </c>
      <c r="G22" s="126">
        <v>85000</v>
      </c>
      <c r="H22" s="93"/>
      <c r="I22" s="93"/>
      <c r="J22" s="93"/>
      <c r="K22" s="112"/>
    </row>
    <row r="23" spans="1:11" ht="27.75" customHeight="1" x14ac:dyDescent="0.2">
      <c r="A23" s="62"/>
      <c r="B23" s="172" t="s">
        <v>171</v>
      </c>
      <c r="C23" s="166" t="s">
        <v>212</v>
      </c>
      <c r="D23" s="166" t="s">
        <v>59</v>
      </c>
      <c r="E23" s="172" t="s">
        <v>19</v>
      </c>
      <c r="F23" s="168">
        <v>287241</v>
      </c>
      <c r="G23" s="168">
        <v>320027</v>
      </c>
      <c r="H23" s="170" t="s">
        <v>214</v>
      </c>
      <c r="I23" s="172" t="s">
        <v>81</v>
      </c>
      <c r="J23" s="172" t="s">
        <v>84</v>
      </c>
      <c r="K23" s="166" t="s">
        <v>88</v>
      </c>
    </row>
    <row r="24" spans="1:11" ht="72.75" customHeight="1" x14ac:dyDescent="0.2">
      <c r="A24" s="62"/>
      <c r="B24" s="173"/>
      <c r="C24" s="167"/>
      <c r="D24" s="175"/>
      <c r="E24" s="173"/>
      <c r="F24" s="169"/>
      <c r="G24" s="169"/>
      <c r="H24" s="171"/>
      <c r="I24" s="173"/>
      <c r="J24" s="173"/>
      <c r="K24" s="175"/>
    </row>
    <row r="25" spans="1:11" ht="84" customHeight="1" x14ac:dyDescent="0.2">
      <c r="A25" s="62"/>
      <c r="B25" s="174"/>
      <c r="C25" s="26" t="s">
        <v>213</v>
      </c>
      <c r="D25" s="167"/>
      <c r="E25" s="174"/>
      <c r="F25" s="54"/>
      <c r="G25" s="54">
        <v>225000</v>
      </c>
      <c r="H25" s="73" t="s">
        <v>205</v>
      </c>
      <c r="I25" s="173"/>
      <c r="J25" s="173"/>
      <c r="K25" s="167"/>
    </row>
    <row r="26" spans="1:11" ht="63.75" customHeight="1" x14ac:dyDescent="0.2">
      <c r="A26" s="62"/>
      <c r="B26" s="28" t="s">
        <v>172</v>
      </c>
      <c r="C26" s="26" t="s">
        <v>10</v>
      </c>
      <c r="D26" s="34" t="s">
        <v>60</v>
      </c>
      <c r="E26" s="27" t="s">
        <v>51</v>
      </c>
      <c r="F26" s="128">
        <v>175000</v>
      </c>
      <c r="G26" s="128">
        <v>175000</v>
      </c>
      <c r="H26" s="74" t="s">
        <v>206</v>
      </c>
      <c r="I26" s="173"/>
      <c r="J26" s="173"/>
      <c r="K26" s="114" t="s">
        <v>89</v>
      </c>
    </row>
    <row r="27" spans="1:11" ht="61.9" customHeight="1" x14ac:dyDescent="0.2">
      <c r="A27" s="176"/>
      <c r="B27" s="28" t="s">
        <v>173</v>
      </c>
      <c r="C27" s="28" t="s">
        <v>9</v>
      </c>
      <c r="D27" s="28" t="s">
        <v>15</v>
      </c>
      <c r="E27" s="27" t="s">
        <v>51</v>
      </c>
      <c r="F27" s="128">
        <v>460000</v>
      </c>
      <c r="G27" s="128">
        <v>460000</v>
      </c>
      <c r="H27" s="74" t="s">
        <v>207</v>
      </c>
      <c r="I27" s="174"/>
      <c r="J27" s="174"/>
      <c r="K27" s="114" t="s">
        <v>89</v>
      </c>
    </row>
    <row r="28" spans="1:11" ht="53.25" customHeight="1" x14ac:dyDescent="0.2">
      <c r="A28" s="177"/>
      <c r="B28" s="28" t="s">
        <v>174</v>
      </c>
      <c r="C28" s="28" t="s">
        <v>12</v>
      </c>
      <c r="D28" s="60" t="s">
        <v>79</v>
      </c>
      <c r="E28" s="27" t="s">
        <v>80</v>
      </c>
      <c r="F28" s="128">
        <v>30000</v>
      </c>
      <c r="G28" s="128">
        <v>30000</v>
      </c>
      <c r="H28" s="29"/>
      <c r="I28" s="63">
        <v>1</v>
      </c>
      <c r="J28" s="55" t="s">
        <v>84</v>
      </c>
      <c r="K28" s="115" t="s">
        <v>179</v>
      </c>
    </row>
    <row r="29" spans="1:11" ht="14.1" customHeight="1" x14ac:dyDescent="0.2">
      <c r="E29" s="95" t="s">
        <v>63</v>
      </c>
      <c r="F29" s="96"/>
      <c r="G29" s="96">
        <f>SUM(G3:G28)</f>
        <v>19517100</v>
      </c>
    </row>
    <row r="30" spans="1:11" x14ac:dyDescent="0.2">
      <c r="C30" s="121"/>
      <c r="D30" s="124"/>
      <c r="E30" s="122"/>
      <c r="F30" s="123"/>
      <c r="G30" s="123"/>
      <c r="H30" s="121"/>
      <c r="I30" s="121"/>
      <c r="J30" s="121"/>
      <c r="K30" s="121"/>
    </row>
    <row r="31" spans="1:11" x14ac:dyDescent="0.2">
      <c r="E31"/>
      <c r="F31" s="75"/>
      <c r="G31" s="75">
        <f>+G30+G29</f>
        <v>19517100</v>
      </c>
      <c r="H31" s="75"/>
    </row>
    <row r="32" spans="1:11" x14ac:dyDescent="0.2">
      <c r="G32" s="120">
        <v>19517100</v>
      </c>
    </row>
    <row r="33" spans="7:9" x14ac:dyDescent="0.2">
      <c r="G33" s="116">
        <f>G32-G31</f>
        <v>0</v>
      </c>
    </row>
    <row r="34" spans="7:9" x14ac:dyDescent="0.2">
      <c r="H34" s="75"/>
      <c r="I34" s="78"/>
    </row>
  </sheetData>
  <mergeCells count="40">
    <mergeCell ref="K13:K15"/>
    <mergeCell ref="A12:A17"/>
    <mergeCell ref="C17:C18"/>
    <mergeCell ref="E17:E18"/>
    <mergeCell ref="B23:B25"/>
    <mergeCell ref="A18:A20"/>
    <mergeCell ref="D13:D15"/>
    <mergeCell ref="A6:A11"/>
    <mergeCell ref="K6:K9"/>
    <mergeCell ref="I6:I11"/>
    <mergeCell ref="K20:K21"/>
    <mergeCell ref="C23:C24"/>
    <mergeCell ref="F23:F24"/>
    <mergeCell ref="G23:G24"/>
    <mergeCell ref="H23:H24"/>
    <mergeCell ref="I23:I27"/>
    <mergeCell ref="J23:J27"/>
    <mergeCell ref="K23:K25"/>
    <mergeCell ref="A27:A28"/>
    <mergeCell ref="I20:J21"/>
    <mergeCell ref="D23:D25"/>
    <mergeCell ref="E23:E25"/>
    <mergeCell ref="E20:E21"/>
    <mergeCell ref="A1:B1"/>
    <mergeCell ref="A2:B2"/>
    <mergeCell ref="A3:B3"/>
    <mergeCell ref="E1:K3"/>
    <mergeCell ref="A4:I4"/>
    <mergeCell ref="J4:K4"/>
    <mergeCell ref="J6:J11"/>
    <mergeCell ref="C20:C21"/>
    <mergeCell ref="C10:C11"/>
    <mergeCell ref="B6:B9"/>
    <mergeCell ref="D6:D9"/>
    <mergeCell ref="E6:E11"/>
    <mergeCell ref="H6:H7"/>
    <mergeCell ref="C6:C7"/>
    <mergeCell ref="F6:F7"/>
    <mergeCell ref="G6:G7"/>
    <mergeCell ref="I17:I18"/>
  </mergeCells>
  <phoneticPr fontId="18" type="noConversion"/>
  <printOptions horizontalCentered="1"/>
  <pageMargins left="0" right="0" top="0" bottom="0" header="0" footer="0"/>
  <pageSetup paperSize="8" scale="9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0"/>
  <sheetViews>
    <sheetView topLeftCell="A28" zoomScale="90" zoomScaleNormal="90" workbookViewId="0">
      <selection activeCell="G64" sqref="G64"/>
    </sheetView>
  </sheetViews>
  <sheetFormatPr baseColWidth="10" defaultRowHeight="12.75" x14ac:dyDescent="0.2"/>
  <cols>
    <col min="1" max="1" width="86.7109375" customWidth="1"/>
    <col min="2" max="2" width="24.42578125" customWidth="1"/>
    <col min="3" max="3" width="16.42578125" bestFit="1" customWidth="1"/>
    <col min="4" max="5" width="15.42578125" bestFit="1" customWidth="1"/>
    <col min="6" max="6" width="12.85546875" bestFit="1" customWidth="1"/>
    <col min="7" max="7" width="13.85546875" bestFit="1" customWidth="1"/>
    <col min="9" max="9" width="14.140625" bestFit="1" customWidth="1"/>
    <col min="10" max="10" width="14.28515625" bestFit="1" customWidth="1"/>
    <col min="11" max="11" width="16.42578125" bestFit="1" customWidth="1"/>
  </cols>
  <sheetData>
    <row r="1" spans="1:11" x14ac:dyDescent="0.2">
      <c r="A1" s="1" t="s">
        <v>0</v>
      </c>
      <c r="B1" s="198" t="s">
        <v>90</v>
      </c>
      <c r="C1" s="198"/>
      <c r="D1" s="198"/>
      <c r="E1" s="198"/>
      <c r="F1" s="198"/>
    </row>
    <row r="2" spans="1:11" x14ac:dyDescent="0.2">
      <c r="A2" s="1" t="s">
        <v>1</v>
      </c>
      <c r="B2" s="198"/>
      <c r="C2" s="198"/>
      <c r="D2" s="198"/>
      <c r="E2" s="198"/>
      <c r="F2" s="4">
        <f>+E12+E29</f>
        <v>16000000</v>
      </c>
      <c r="G2" s="52">
        <f>E12/F2*100</f>
        <v>4.8</v>
      </c>
    </row>
    <row r="3" spans="1:11" x14ac:dyDescent="0.2">
      <c r="A3" s="12" t="s">
        <v>27</v>
      </c>
      <c r="B3" s="12"/>
      <c r="C3" s="13"/>
      <c r="D3" s="192"/>
      <c r="E3" s="192"/>
      <c r="F3" s="192"/>
      <c r="K3" s="52">
        <v>16000000</v>
      </c>
    </row>
    <row r="4" spans="1:11" x14ac:dyDescent="0.2">
      <c r="A4" s="12" t="s">
        <v>28</v>
      </c>
      <c r="B4" s="12"/>
      <c r="C4" s="13"/>
      <c r="D4" s="192"/>
      <c r="E4" s="192"/>
      <c r="F4" s="192"/>
    </row>
    <row r="5" spans="1:11" x14ac:dyDescent="0.2">
      <c r="A5" s="12" t="s">
        <v>29</v>
      </c>
      <c r="B5" s="12"/>
      <c r="C5" s="13"/>
      <c r="D5" s="192"/>
      <c r="E5" s="192"/>
      <c r="F5" s="192"/>
    </row>
    <row r="6" spans="1:11" x14ac:dyDescent="0.2">
      <c r="A6" s="14" t="s">
        <v>30</v>
      </c>
      <c r="B6" s="199"/>
      <c r="C6" s="199"/>
      <c r="D6" s="200">
        <v>300000</v>
      </c>
      <c r="E6" s="200"/>
      <c r="F6" s="200"/>
    </row>
    <row r="7" spans="1:11" x14ac:dyDescent="0.2">
      <c r="A7" s="15" t="s">
        <v>21</v>
      </c>
      <c r="B7" s="15"/>
      <c r="C7" s="16">
        <v>290000</v>
      </c>
      <c r="D7" s="192"/>
      <c r="E7" s="192"/>
      <c r="F7" s="192"/>
    </row>
    <row r="8" spans="1:11" x14ac:dyDescent="0.2">
      <c r="A8" s="15" t="s">
        <v>20</v>
      </c>
      <c r="B8" s="15"/>
      <c r="C8" s="16">
        <v>20000</v>
      </c>
      <c r="D8" s="192"/>
      <c r="E8" s="192"/>
      <c r="F8" s="192"/>
    </row>
    <row r="9" spans="1:11" x14ac:dyDescent="0.2">
      <c r="A9" s="14" t="s">
        <v>37</v>
      </c>
      <c r="B9" s="17"/>
      <c r="C9" s="18"/>
      <c r="D9" s="193"/>
      <c r="E9" s="193"/>
      <c r="F9" s="193"/>
    </row>
    <row r="10" spans="1:11" x14ac:dyDescent="0.2">
      <c r="A10" s="14" t="s">
        <v>139</v>
      </c>
      <c r="B10" s="17"/>
      <c r="C10" s="18">
        <v>128000</v>
      </c>
      <c r="D10" s="77"/>
      <c r="E10" s="77"/>
      <c r="F10" s="77"/>
    </row>
    <row r="11" spans="1:11" x14ac:dyDescent="0.2">
      <c r="A11" s="14" t="s">
        <v>64</v>
      </c>
      <c r="B11" s="17"/>
      <c r="C11" s="18">
        <v>30000</v>
      </c>
      <c r="D11" s="77">
        <v>30000</v>
      </c>
      <c r="E11" s="77"/>
      <c r="F11" s="77"/>
    </row>
    <row r="12" spans="1:11" ht="14.25" customHeight="1" x14ac:dyDescent="0.2">
      <c r="A12" s="10" t="s">
        <v>31</v>
      </c>
      <c r="B12" s="194"/>
      <c r="C12" s="194"/>
      <c r="D12" s="194"/>
      <c r="E12" s="191">
        <f>D6+C7+C8+C11+C10</f>
        <v>768000</v>
      </c>
      <c r="F12" s="191"/>
      <c r="G12" s="88">
        <f>E12/F2</f>
        <v>4.8000000000000001E-2</v>
      </c>
    </row>
    <row r="13" spans="1:11" s="51" customFormat="1" ht="15" x14ac:dyDescent="0.2">
      <c r="A13" s="46" t="s">
        <v>64</v>
      </c>
      <c r="B13" s="47"/>
      <c r="C13" s="48"/>
      <c r="D13" s="49"/>
      <c r="E13" s="50"/>
      <c r="F13" s="50"/>
    </row>
    <row r="14" spans="1:11" x14ac:dyDescent="0.2">
      <c r="A14" s="2" t="s">
        <v>36</v>
      </c>
      <c r="B14" s="195"/>
      <c r="C14" s="195"/>
      <c r="D14" s="5">
        <v>480000</v>
      </c>
      <c r="E14" s="5"/>
      <c r="F14" s="5"/>
      <c r="G14" s="21">
        <f>D14/F2</f>
        <v>0.03</v>
      </c>
    </row>
    <row r="15" spans="1:11" x14ac:dyDescent="0.2">
      <c r="A15" s="2" t="s">
        <v>22</v>
      </c>
      <c r="B15" s="195"/>
      <c r="C15" s="195"/>
      <c r="D15" s="5">
        <f>11680000+1120000+240000</f>
        <v>13040000</v>
      </c>
      <c r="E15" s="192"/>
      <c r="F15" s="192"/>
      <c r="G15" s="21"/>
    </row>
    <row r="16" spans="1:11" x14ac:dyDescent="0.2">
      <c r="A16" s="9" t="s">
        <v>65</v>
      </c>
      <c r="B16" s="7"/>
      <c r="C16" s="6"/>
      <c r="D16" s="192"/>
      <c r="E16" s="192"/>
      <c r="F16" s="192"/>
    </row>
    <row r="17" spans="1:10" x14ac:dyDescent="0.2">
      <c r="A17" s="9" t="s">
        <v>33</v>
      </c>
      <c r="B17" s="7"/>
      <c r="C17" s="6"/>
      <c r="D17" s="192"/>
      <c r="E17" s="192"/>
      <c r="F17" s="192"/>
    </row>
    <row r="18" spans="1:10" x14ac:dyDescent="0.2">
      <c r="A18" s="9" t="s">
        <v>34</v>
      </c>
      <c r="B18" s="6"/>
      <c r="C18" s="192"/>
      <c r="D18" s="192"/>
      <c r="E18" s="192"/>
      <c r="F18" s="192"/>
    </row>
    <row r="19" spans="1:10" x14ac:dyDescent="0.2">
      <c r="A19" s="9" t="s">
        <v>18</v>
      </c>
      <c r="B19" s="6"/>
      <c r="C19" s="192"/>
      <c r="D19" s="192"/>
      <c r="E19" s="192"/>
      <c r="F19" s="192"/>
    </row>
    <row r="20" spans="1:10" x14ac:dyDescent="0.2">
      <c r="A20" s="9" t="s">
        <v>35</v>
      </c>
      <c r="B20" s="8"/>
      <c r="C20" s="6"/>
      <c r="D20" s="192"/>
      <c r="E20" s="192"/>
      <c r="F20" s="192"/>
      <c r="J20" s="64">
        <f>D15+D22</f>
        <v>13040000</v>
      </c>
    </row>
    <row r="21" spans="1:10" x14ac:dyDescent="0.2">
      <c r="A21" s="2" t="s">
        <v>23</v>
      </c>
      <c r="B21" s="2"/>
      <c r="C21" s="7"/>
      <c r="D21" s="6">
        <v>160000</v>
      </c>
      <c r="E21" s="6"/>
      <c r="F21" s="6"/>
    </row>
    <row r="22" spans="1:10" x14ac:dyDescent="0.2">
      <c r="A22" s="86" t="s">
        <v>45</v>
      </c>
      <c r="B22" s="2"/>
      <c r="C22" s="7"/>
      <c r="D22" s="5">
        <v>0</v>
      </c>
      <c r="E22" s="192"/>
      <c r="F22" s="192"/>
    </row>
    <row r="23" spans="1:10" x14ac:dyDescent="0.2">
      <c r="A23" s="2" t="s">
        <v>24</v>
      </c>
      <c r="B23" s="2"/>
      <c r="C23" s="5"/>
      <c r="D23" s="5">
        <v>160000</v>
      </c>
      <c r="E23" s="192"/>
      <c r="F23" s="192"/>
    </row>
    <row r="24" spans="1:10" ht="24" x14ac:dyDescent="0.2">
      <c r="A24" s="3" t="s">
        <v>26</v>
      </c>
      <c r="B24" s="2"/>
      <c r="C24" s="5"/>
      <c r="D24" s="5">
        <v>32000</v>
      </c>
      <c r="E24" s="192"/>
      <c r="F24" s="192"/>
    </row>
    <row r="25" spans="1:10" ht="24" x14ac:dyDescent="0.2">
      <c r="A25" s="3" t="s">
        <v>138</v>
      </c>
      <c r="B25" s="2"/>
      <c r="C25" s="5"/>
      <c r="D25" s="5"/>
      <c r="E25" s="192"/>
      <c r="F25" s="192"/>
    </row>
    <row r="26" spans="1:10" x14ac:dyDescent="0.2">
      <c r="A26" s="3" t="s">
        <v>135</v>
      </c>
      <c r="B26" s="2"/>
      <c r="C26" s="5"/>
      <c r="D26" s="5">
        <v>600000</v>
      </c>
      <c r="E26" s="76"/>
      <c r="F26" s="76"/>
    </row>
    <row r="27" spans="1:10" x14ac:dyDescent="0.2">
      <c r="A27" s="3" t="s">
        <v>136</v>
      </c>
      <c r="B27" s="2"/>
      <c r="C27" s="5"/>
      <c r="D27" s="5">
        <v>500000</v>
      </c>
      <c r="E27" s="76"/>
      <c r="F27" s="76"/>
    </row>
    <row r="28" spans="1:10" x14ac:dyDescent="0.2">
      <c r="A28" s="3" t="s">
        <v>137</v>
      </c>
      <c r="B28" s="2"/>
      <c r="C28" s="5"/>
      <c r="D28" s="5">
        <v>260000</v>
      </c>
      <c r="E28" s="76"/>
      <c r="F28" s="76"/>
    </row>
    <row r="29" spans="1:10" x14ac:dyDescent="0.2">
      <c r="A29" s="10" t="s">
        <v>32</v>
      </c>
      <c r="B29" s="10"/>
      <c r="C29" s="11"/>
      <c r="D29" s="11"/>
      <c r="E29" s="191">
        <f>SUM(D14:D28)</f>
        <v>15232000</v>
      </c>
      <c r="F29" s="191"/>
      <c r="G29" s="53">
        <f>E29*100/F2</f>
        <v>95.2</v>
      </c>
    </row>
    <row r="30" spans="1:10" x14ac:dyDescent="0.2">
      <c r="E30" s="21">
        <f>(E29-E52)/E52</f>
        <v>2.8869944157629464</v>
      </c>
      <c r="F30" s="21">
        <f>(F2-F33)/F33</f>
        <v>2.9040473014371044</v>
      </c>
      <c r="I30" s="87">
        <f>E12+E29</f>
        <v>16000000</v>
      </c>
    </row>
    <row r="31" spans="1:10" x14ac:dyDescent="0.2">
      <c r="I31" s="87">
        <f>I30-E29</f>
        <v>768000</v>
      </c>
    </row>
    <row r="32" spans="1:10" x14ac:dyDescent="0.2">
      <c r="A32" s="1" t="s">
        <v>0</v>
      </c>
      <c r="B32" s="206" t="s">
        <v>38</v>
      </c>
      <c r="C32" s="207"/>
      <c r="D32" s="207"/>
      <c r="E32" s="207"/>
      <c r="F32" s="208"/>
    </row>
    <row r="33" spans="1:6" x14ac:dyDescent="0.2">
      <c r="A33" s="1" t="s">
        <v>1</v>
      </c>
      <c r="B33" s="206"/>
      <c r="C33" s="207"/>
      <c r="D33" s="207"/>
      <c r="E33" s="208"/>
      <c r="F33" s="4">
        <f>+E41+E52</f>
        <v>4098311</v>
      </c>
    </row>
    <row r="34" spans="1:6" x14ac:dyDescent="0.2">
      <c r="A34" s="12" t="s">
        <v>27</v>
      </c>
      <c r="B34" s="12"/>
      <c r="C34" s="13">
        <v>124146</v>
      </c>
      <c r="D34" s="209"/>
      <c r="E34" s="210"/>
      <c r="F34" s="211"/>
    </row>
    <row r="35" spans="1:6" x14ac:dyDescent="0.2">
      <c r="A35" s="12" t="s">
        <v>28</v>
      </c>
      <c r="B35" s="12"/>
      <c r="C35" s="13">
        <v>30446</v>
      </c>
      <c r="D35" s="212"/>
      <c r="E35" s="213"/>
      <c r="F35" s="214"/>
    </row>
    <row r="36" spans="1:6" x14ac:dyDescent="0.2">
      <c r="A36" s="12" t="s">
        <v>29</v>
      </c>
      <c r="B36" s="12"/>
      <c r="C36" s="13">
        <v>10</v>
      </c>
      <c r="D36" s="215"/>
      <c r="E36" s="216"/>
      <c r="F36" s="217"/>
    </row>
    <row r="37" spans="1:6" x14ac:dyDescent="0.2">
      <c r="A37" s="14" t="s">
        <v>30</v>
      </c>
      <c r="B37" s="218"/>
      <c r="C37" s="219"/>
      <c r="D37" s="220">
        <f>SUM(C34:C36)</f>
        <v>154602</v>
      </c>
      <c r="E37" s="221"/>
      <c r="F37" s="222"/>
    </row>
    <row r="38" spans="1:6" x14ac:dyDescent="0.2">
      <c r="A38" s="15" t="s">
        <v>21</v>
      </c>
      <c r="B38" s="15"/>
      <c r="C38" s="16">
        <v>10000</v>
      </c>
      <c r="D38" s="209"/>
      <c r="E38" s="210"/>
      <c r="F38" s="211"/>
    </row>
    <row r="39" spans="1:6" x14ac:dyDescent="0.2">
      <c r="A39" s="15" t="s">
        <v>20</v>
      </c>
      <c r="B39" s="15"/>
      <c r="C39" s="16">
        <v>15000</v>
      </c>
      <c r="D39" s="215"/>
      <c r="E39" s="216"/>
      <c r="F39" s="217"/>
    </row>
    <row r="40" spans="1:6" x14ac:dyDescent="0.2">
      <c r="A40" s="14" t="s">
        <v>37</v>
      </c>
      <c r="B40" s="17"/>
      <c r="C40" s="18"/>
      <c r="D40" s="225">
        <f>+C38+C39</f>
        <v>25000</v>
      </c>
      <c r="E40" s="226"/>
      <c r="F40" s="227"/>
    </row>
    <row r="41" spans="1:6" x14ac:dyDescent="0.2">
      <c r="A41" s="10" t="s">
        <v>31</v>
      </c>
      <c r="B41" s="203"/>
      <c r="C41" s="204"/>
      <c r="D41" s="205"/>
      <c r="E41" s="223">
        <f>D37+D40</f>
        <v>179602</v>
      </c>
      <c r="F41" s="224"/>
    </row>
    <row r="42" spans="1:6" x14ac:dyDescent="0.2">
      <c r="A42" s="19" t="s">
        <v>41</v>
      </c>
      <c r="B42" s="196"/>
      <c r="C42" s="197"/>
      <c r="D42" s="20">
        <v>200000</v>
      </c>
      <c r="E42" s="201"/>
      <c r="F42" s="202"/>
    </row>
    <row r="43" spans="1:6" x14ac:dyDescent="0.2">
      <c r="A43" s="2" t="s">
        <v>22</v>
      </c>
      <c r="B43" s="196"/>
      <c r="C43" s="197"/>
      <c r="D43" s="5">
        <f>C48+C45+C44</f>
        <v>1910844</v>
      </c>
      <c r="E43" s="201"/>
      <c r="F43" s="202"/>
    </row>
    <row r="44" spans="1:6" x14ac:dyDescent="0.2">
      <c r="A44" s="9" t="s">
        <v>42</v>
      </c>
      <c r="B44" s="7"/>
      <c r="C44" s="6">
        <v>204844</v>
      </c>
      <c r="D44" s="201"/>
      <c r="E44" s="228"/>
      <c r="F44" s="202"/>
    </row>
    <row r="45" spans="1:6" x14ac:dyDescent="0.2">
      <c r="A45" s="9" t="s">
        <v>43</v>
      </c>
      <c r="B45" s="7"/>
      <c r="C45" s="6">
        <f>+B46+B47</f>
        <v>56000</v>
      </c>
      <c r="D45" s="201"/>
      <c r="E45" s="228"/>
      <c r="F45" s="202"/>
    </row>
    <row r="46" spans="1:6" x14ac:dyDescent="0.2">
      <c r="A46" s="9" t="s">
        <v>34</v>
      </c>
      <c r="B46" s="6">
        <v>0</v>
      </c>
      <c r="C46" s="201"/>
      <c r="D46" s="228"/>
      <c r="E46" s="228"/>
      <c r="F46" s="228"/>
    </row>
    <row r="47" spans="1:6" x14ac:dyDescent="0.2">
      <c r="A47" s="9" t="s">
        <v>18</v>
      </c>
      <c r="B47" s="6">
        <v>56000</v>
      </c>
      <c r="C47" s="201"/>
      <c r="D47" s="228"/>
      <c r="E47" s="228"/>
      <c r="F47" s="202"/>
    </row>
    <row r="48" spans="1:6" x14ac:dyDescent="0.2">
      <c r="A48" s="9" t="s">
        <v>44</v>
      </c>
      <c r="B48" s="8"/>
      <c r="C48" s="6">
        <v>1650000</v>
      </c>
      <c r="D48" s="201"/>
      <c r="E48" s="228"/>
      <c r="F48" s="202"/>
    </row>
    <row r="49" spans="1:7" x14ac:dyDescent="0.2">
      <c r="A49" s="2" t="s">
        <v>39</v>
      </c>
      <c r="B49" s="2"/>
      <c r="C49" s="7"/>
      <c r="D49" s="6">
        <f>240000+20000</f>
        <v>260000</v>
      </c>
      <c r="E49" s="201"/>
      <c r="F49" s="202"/>
    </row>
    <row r="50" spans="1:7" x14ac:dyDescent="0.2">
      <c r="A50" s="19" t="s">
        <v>40</v>
      </c>
      <c r="B50" s="2"/>
      <c r="C50" s="7"/>
      <c r="D50" s="20">
        <v>1472865</v>
      </c>
      <c r="E50" s="201"/>
      <c r="F50" s="202"/>
    </row>
    <row r="51" spans="1:7" x14ac:dyDescent="0.2">
      <c r="A51" s="2" t="s">
        <v>24</v>
      </c>
      <c r="B51" s="2"/>
      <c r="C51" s="7"/>
      <c r="D51" s="5">
        <v>75000</v>
      </c>
      <c r="E51" s="201"/>
      <c r="F51" s="202"/>
    </row>
    <row r="52" spans="1:7" x14ac:dyDescent="0.2">
      <c r="A52" s="10" t="s">
        <v>32</v>
      </c>
      <c r="B52" s="10"/>
      <c r="C52" s="11"/>
      <c r="D52" s="11"/>
      <c r="E52" s="223">
        <f>SUM(D42:D51)</f>
        <v>3918709</v>
      </c>
      <c r="F52" s="224"/>
    </row>
    <row r="54" spans="1:7" x14ac:dyDescent="0.2">
      <c r="A54" s="103" t="s">
        <v>182</v>
      </c>
      <c r="B54" s="104">
        <f>SUM(B55:B70)</f>
        <v>18018457</v>
      </c>
      <c r="C54" s="56"/>
      <c r="D54" s="56"/>
    </row>
    <row r="55" spans="1:7" x14ac:dyDescent="0.2">
      <c r="A55" s="105" t="s">
        <v>27</v>
      </c>
      <c r="B55" s="106">
        <v>71527</v>
      </c>
      <c r="C55" s="56"/>
      <c r="D55" s="56"/>
    </row>
    <row r="56" spans="1:7" x14ac:dyDescent="0.2">
      <c r="A56" s="105" t="s">
        <v>183</v>
      </c>
      <c r="B56" s="106">
        <v>64929</v>
      </c>
      <c r="C56" s="56"/>
      <c r="D56" s="56"/>
    </row>
    <row r="57" spans="1:7" x14ac:dyDescent="0.2">
      <c r="A57" s="105" t="s">
        <v>29</v>
      </c>
      <c r="B57" s="106">
        <v>134666</v>
      </c>
      <c r="D57" t="s">
        <v>193</v>
      </c>
      <c r="E57" s="87">
        <f>B55+B56+B57+B59+B60+B61</f>
        <v>576122</v>
      </c>
    </row>
    <row r="58" spans="1:7" x14ac:dyDescent="0.2">
      <c r="A58" s="105" t="s">
        <v>140</v>
      </c>
      <c r="B58" s="106">
        <v>25000</v>
      </c>
      <c r="D58" t="s">
        <v>66</v>
      </c>
      <c r="E58" s="139">
        <v>2310206</v>
      </c>
    </row>
    <row r="59" spans="1:7" x14ac:dyDescent="0.2">
      <c r="A59" s="105" t="s">
        <v>141</v>
      </c>
      <c r="B59" s="106">
        <v>265000</v>
      </c>
      <c r="E59" s="140"/>
    </row>
    <row r="60" spans="1:7" x14ac:dyDescent="0.2">
      <c r="A60" s="105" t="s">
        <v>184</v>
      </c>
      <c r="B60" s="106">
        <v>30000</v>
      </c>
      <c r="E60" s="23">
        <v>1113127</v>
      </c>
    </row>
    <row r="61" spans="1:7" x14ac:dyDescent="0.2">
      <c r="A61" s="105" t="s">
        <v>142</v>
      </c>
      <c r="B61" s="106">
        <v>10000</v>
      </c>
      <c r="E61" s="75">
        <f>SUM(E58+E60)</f>
        <v>3423333</v>
      </c>
      <c r="G61" s="83">
        <v>7928121.0800000001</v>
      </c>
    </row>
    <row r="62" spans="1:7" x14ac:dyDescent="0.2">
      <c r="A62" s="105" t="s">
        <v>143</v>
      </c>
      <c r="B62" s="106">
        <v>12000000</v>
      </c>
      <c r="E62" s="107">
        <f>G61-E61</f>
        <v>4504788.08</v>
      </c>
    </row>
    <row r="63" spans="1:7" x14ac:dyDescent="0.2">
      <c r="A63" s="105" t="s">
        <v>185</v>
      </c>
      <c r="B63" s="106">
        <v>400000</v>
      </c>
      <c r="D63" t="s">
        <v>194</v>
      </c>
      <c r="E63" s="52">
        <v>1171199.7050000001</v>
      </c>
      <c r="F63">
        <v>264140</v>
      </c>
      <c r="G63" s="108">
        <f>E63-F63</f>
        <v>907059.70500000007</v>
      </c>
    </row>
    <row r="64" spans="1:7" x14ac:dyDescent="0.2">
      <c r="A64" s="105" t="s">
        <v>186</v>
      </c>
      <c r="B64" s="106">
        <v>3272335</v>
      </c>
    </row>
    <row r="65" spans="1:2" x14ac:dyDescent="0.2">
      <c r="A65" s="105" t="s">
        <v>187</v>
      </c>
      <c r="B65" s="106">
        <v>120000</v>
      </c>
    </row>
    <row r="66" spans="1:2" x14ac:dyDescent="0.2">
      <c r="A66" s="105" t="s">
        <v>188</v>
      </c>
      <c r="B66" s="106">
        <v>440000</v>
      </c>
    </row>
    <row r="67" spans="1:2" x14ac:dyDescent="0.2">
      <c r="A67" s="105" t="s">
        <v>189</v>
      </c>
      <c r="B67" s="106">
        <v>45000</v>
      </c>
    </row>
    <row r="68" spans="1:2" x14ac:dyDescent="0.2">
      <c r="A68" s="105" t="s">
        <v>190</v>
      </c>
      <c r="B68" s="106">
        <v>395000</v>
      </c>
    </row>
    <row r="69" spans="1:2" x14ac:dyDescent="0.2">
      <c r="A69" s="105" t="s">
        <v>191</v>
      </c>
      <c r="B69" s="106">
        <v>260000</v>
      </c>
    </row>
    <row r="70" spans="1:2" x14ac:dyDescent="0.2">
      <c r="A70" s="105" t="s">
        <v>192</v>
      </c>
      <c r="B70" s="106">
        <v>485000</v>
      </c>
    </row>
  </sheetData>
  <mergeCells count="45">
    <mergeCell ref="D44:F44"/>
    <mergeCell ref="D45:F45"/>
    <mergeCell ref="E52:F52"/>
    <mergeCell ref="C46:F46"/>
    <mergeCell ref="C47:F47"/>
    <mergeCell ref="D48:F48"/>
    <mergeCell ref="E49:F49"/>
    <mergeCell ref="E50:F50"/>
    <mergeCell ref="E51:F51"/>
    <mergeCell ref="E42:F42"/>
    <mergeCell ref="E29:F29"/>
    <mergeCell ref="B41:D41"/>
    <mergeCell ref="E25:F25"/>
    <mergeCell ref="B43:C43"/>
    <mergeCell ref="E43:F43"/>
    <mergeCell ref="B32:F32"/>
    <mergeCell ref="B33:E33"/>
    <mergeCell ref="D34:F36"/>
    <mergeCell ref="B37:C37"/>
    <mergeCell ref="D37:F37"/>
    <mergeCell ref="E41:F41"/>
    <mergeCell ref="D38:F39"/>
    <mergeCell ref="D40:F40"/>
    <mergeCell ref="B1:F1"/>
    <mergeCell ref="B2:E2"/>
    <mergeCell ref="D3:F5"/>
    <mergeCell ref="B6:C6"/>
    <mergeCell ref="D7:F8"/>
    <mergeCell ref="D6:F6"/>
    <mergeCell ref="E58:E59"/>
    <mergeCell ref="E12:F12"/>
    <mergeCell ref="E22:F22"/>
    <mergeCell ref="E23:F23"/>
    <mergeCell ref="D9:F9"/>
    <mergeCell ref="B12:D12"/>
    <mergeCell ref="B14:C14"/>
    <mergeCell ref="B15:C15"/>
    <mergeCell ref="C19:F19"/>
    <mergeCell ref="D20:F20"/>
    <mergeCell ref="C18:F18"/>
    <mergeCell ref="E15:F15"/>
    <mergeCell ref="D16:F16"/>
    <mergeCell ref="D17:F17"/>
    <mergeCell ref="E24:F24"/>
    <mergeCell ref="B42:C42"/>
  </mergeCells>
  <phoneticPr fontId="18" type="noConversion"/>
  <pageMargins left="0.7" right="0.7" top="0.75" bottom="0.75" header="0.3" footer="0.3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workbookViewId="0">
      <selection activeCell="C8" sqref="C8"/>
    </sheetView>
  </sheetViews>
  <sheetFormatPr baseColWidth="10" defaultRowHeight="12.75" x14ac:dyDescent="0.2"/>
  <cols>
    <col min="1" max="1" width="97.5703125" customWidth="1"/>
    <col min="2" max="2" width="12.28515625" bestFit="1" customWidth="1"/>
    <col min="3" max="3" width="13.28515625" bestFit="1" customWidth="1"/>
  </cols>
  <sheetData>
    <row r="1" spans="1:4" x14ac:dyDescent="0.2">
      <c r="B1">
        <v>2021</v>
      </c>
      <c r="C1" t="s">
        <v>153</v>
      </c>
    </row>
    <row r="2" spans="1:4" x14ac:dyDescent="0.2">
      <c r="A2" s="89" t="s">
        <v>140</v>
      </c>
      <c r="B2" s="90">
        <v>25000</v>
      </c>
      <c r="C2" s="90">
        <v>25000</v>
      </c>
    </row>
    <row r="3" spans="1:4" x14ac:dyDescent="0.2">
      <c r="A3" s="89" t="s">
        <v>141</v>
      </c>
      <c r="B3" s="90">
        <v>26709</v>
      </c>
      <c r="C3" s="90">
        <v>275000</v>
      </c>
    </row>
    <row r="4" spans="1:4" x14ac:dyDescent="0.2">
      <c r="A4" s="89" t="s">
        <v>142</v>
      </c>
      <c r="B4" s="90">
        <v>1500</v>
      </c>
      <c r="C4" s="90">
        <v>1500</v>
      </c>
      <c r="D4">
        <v>265804.28000000003</v>
      </c>
    </row>
    <row r="5" spans="1:4" x14ac:dyDescent="0.2">
      <c r="A5" s="89" t="s">
        <v>143</v>
      </c>
      <c r="B5" s="90">
        <v>9650000</v>
      </c>
      <c r="C5" s="90">
        <v>10669113.720000001</v>
      </c>
      <c r="D5" s="90">
        <v>275000</v>
      </c>
    </row>
    <row r="6" spans="1:4" x14ac:dyDescent="0.2">
      <c r="A6" s="91" t="s">
        <v>144</v>
      </c>
      <c r="B6" s="90">
        <v>240000</v>
      </c>
      <c r="C6" s="90">
        <v>350000</v>
      </c>
      <c r="D6" s="90">
        <v>1500</v>
      </c>
    </row>
    <row r="7" spans="1:4" x14ac:dyDescent="0.2">
      <c r="A7" s="89" t="s">
        <v>145</v>
      </c>
      <c r="B7" s="90">
        <v>330000</v>
      </c>
      <c r="C7" s="90">
        <v>0</v>
      </c>
      <c r="D7" s="90">
        <f>SUM(D4:D6)</f>
        <v>542304.28</v>
      </c>
    </row>
    <row r="8" spans="1:4" x14ac:dyDescent="0.2">
      <c r="A8" s="89" t="s">
        <v>146</v>
      </c>
      <c r="B8" s="90">
        <v>3019777</v>
      </c>
      <c r="C8" s="90">
        <v>3038582</v>
      </c>
      <c r="D8" s="64"/>
    </row>
    <row r="9" spans="1:4" x14ac:dyDescent="0.2">
      <c r="A9" s="89" t="s">
        <v>147</v>
      </c>
      <c r="B9" s="90">
        <v>85000</v>
      </c>
      <c r="C9" s="90">
        <v>120000</v>
      </c>
    </row>
    <row r="10" spans="1:4" x14ac:dyDescent="0.2">
      <c r="A10" s="91" t="s">
        <v>148</v>
      </c>
      <c r="B10" s="90">
        <v>20000</v>
      </c>
      <c r="C10" s="90">
        <v>400000</v>
      </c>
    </row>
    <row r="11" spans="1:4" x14ac:dyDescent="0.2">
      <c r="A11" s="91" t="s">
        <v>149</v>
      </c>
      <c r="B11" s="90">
        <v>40000</v>
      </c>
      <c r="C11" s="90">
        <v>45000</v>
      </c>
    </row>
    <row r="12" spans="1:4" x14ac:dyDescent="0.2">
      <c r="A12" s="91" t="s">
        <v>150</v>
      </c>
      <c r="B12" s="90"/>
      <c r="C12" s="90">
        <v>330000</v>
      </c>
    </row>
    <row r="13" spans="1:4" x14ac:dyDescent="0.2">
      <c r="A13" s="91" t="s">
        <v>151</v>
      </c>
      <c r="B13" s="90"/>
      <c r="C13" s="90">
        <v>260000</v>
      </c>
    </row>
    <row r="14" spans="1:4" x14ac:dyDescent="0.2">
      <c r="A14" s="91" t="s">
        <v>152</v>
      </c>
      <c r="B14" s="90"/>
      <c r="C14" s="90">
        <v>220000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1"/>
  <sheetViews>
    <sheetView workbookViewId="0">
      <selection activeCell="C15" sqref="C15:C17"/>
    </sheetView>
  </sheetViews>
  <sheetFormatPr baseColWidth="10" defaultRowHeight="12.75" x14ac:dyDescent="0.2"/>
  <cols>
    <col min="11" max="11" width="11.7109375" bestFit="1" customWidth="1"/>
    <col min="16" max="16" width="14.42578125" bestFit="1" customWidth="1"/>
  </cols>
  <sheetData>
    <row r="1" spans="1:19" ht="13.5" thickBot="1" x14ac:dyDescent="0.25">
      <c r="A1" s="241" t="s">
        <v>91</v>
      </c>
      <c r="B1" s="241" t="s">
        <v>92</v>
      </c>
      <c r="C1" s="244" t="s">
        <v>93</v>
      </c>
      <c r="D1" s="245"/>
      <c r="E1" s="245"/>
      <c r="F1" s="246"/>
      <c r="I1" s="241" t="s">
        <v>91</v>
      </c>
      <c r="J1" s="241" t="s">
        <v>92</v>
      </c>
      <c r="K1" s="244" t="s">
        <v>93</v>
      </c>
      <c r="L1" s="245"/>
      <c r="M1" s="245"/>
      <c r="N1" s="246"/>
      <c r="O1">
        <v>20275000</v>
      </c>
      <c r="P1">
        <f>16000000*4%</f>
        <v>640000</v>
      </c>
    </row>
    <row r="2" spans="1:19" x14ac:dyDescent="0.2">
      <c r="A2" s="242"/>
      <c r="B2" s="242"/>
      <c r="C2" s="79" t="s">
        <v>94</v>
      </c>
      <c r="D2" s="250" t="s">
        <v>96</v>
      </c>
      <c r="E2" s="251"/>
      <c r="F2" s="252"/>
      <c r="I2" s="242"/>
      <c r="J2" s="242"/>
      <c r="K2" s="85">
        <v>1008000</v>
      </c>
      <c r="L2" s="247">
        <f>O1*93.7%</f>
        <v>18997675</v>
      </c>
      <c r="M2" s="248"/>
      <c r="N2" s="249"/>
    </row>
    <row r="3" spans="1:19" ht="13.5" thickBot="1" x14ac:dyDescent="0.25">
      <c r="A3" s="243"/>
      <c r="B3" s="243"/>
      <c r="C3" s="80" t="s">
        <v>95</v>
      </c>
      <c r="D3" s="229" t="s">
        <v>97</v>
      </c>
      <c r="E3" s="230"/>
      <c r="F3" s="231"/>
      <c r="I3" s="243"/>
      <c r="J3" s="243"/>
      <c r="K3" s="80" t="s">
        <v>95</v>
      </c>
      <c r="L3" s="229" t="s">
        <v>97</v>
      </c>
      <c r="M3" s="230"/>
      <c r="N3" s="231"/>
    </row>
    <row r="4" spans="1:19" ht="24" x14ac:dyDescent="0.2">
      <c r="A4" s="232" t="s">
        <v>98</v>
      </c>
      <c r="B4" s="235" t="s">
        <v>99</v>
      </c>
      <c r="C4" s="238"/>
      <c r="D4" s="238" t="s">
        <v>100</v>
      </c>
      <c r="E4" s="238" t="s">
        <v>101</v>
      </c>
      <c r="F4" s="81" t="s">
        <v>102</v>
      </c>
      <c r="I4" s="232" t="s">
        <v>123</v>
      </c>
      <c r="J4" s="235" t="s">
        <v>121</v>
      </c>
      <c r="K4" s="238"/>
      <c r="L4" s="238" t="s">
        <v>216</v>
      </c>
      <c r="M4" s="238" t="s">
        <v>122</v>
      </c>
      <c r="N4" s="81" t="s">
        <v>102</v>
      </c>
      <c r="O4" t="s">
        <v>215</v>
      </c>
    </row>
    <row r="5" spans="1:19" ht="60" x14ac:dyDescent="0.2">
      <c r="A5" s="233"/>
      <c r="B5" s="236"/>
      <c r="C5" s="239"/>
      <c r="D5" s="239"/>
      <c r="E5" s="239"/>
      <c r="F5" s="83" t="s">
        <v>103</v>
      </c>
      <c r="I5" s="233"/>
      <c r="J5" s="236"/>
      <c r="K5" s="239"/>
      <c r="L5" s="239"/>
      <c r="M5" s="239"/>
      <c r="N5" s="83">
        <f>O1*44%</f>
        <v>8921000</v>
      </c>
      <c r="O5">
        <v>7266061</v>
      </c>
      <c r="P5">
        <f>N5-O5</f>
        <v>1654939</v>
      </c>
    </row>
    <row r="6" spans="1:19" ht="13.5" thickBot="1" x14ac:dyDescent="0.25">
      <c r="A6" s="233"/>
      <c r="B6" s="237"/>
      <c r="C6" s="240"/>
      <c r="D6" s="240"/>
      <c r="E6" s="240"/>
      <c r="F6" s="82"/>
      <c r="I6" s="233"/>
      <c r="J6" s="237"/>
      <c r="K6" s="240"/>
      <c r="L6" s="240"/>
      <c r="M6" s="240"/>
      <c r="N6" s="82"/>
    </row>
    <row r="7" spans="1:19" ht="48.75" thickBot="1" x14ac:dyDescent="0.25">
      <c r="A7" s="233"/>
      <c r="B7" s="84" t="s">
        <v>104</v>
      </c>
      <c r="C7" s="82" t="s">
        <v>105</v>
      </c>
      <c r="D7" s="82" t="s">
        <v>106</v>
      </c>
      <c r="E7" s="82"/>
      <c r="F7" s="82"/>
      <c r="I7" s="233"/>
      <c r="J7" s="84" t="s">
        <v>125</v>
      </c>
      <c r="K7" s="82" t="s">
        <v>105</v>
      </c>
      <c r="L7" s="82" t="s">
        <v>106</v>
      </c>
      <c r="M7" s="82"/>
      <c r="N7" s="82"/>
      <c r="O7">
        <f>O1*1.5%</f>
        <v>304125</v>
      </c>
      <c r="S7">
        <f>O1*1.5%</f>
        <v>304125</v>
      </c>
    </row>
    <row r="8" spans="1:19" ht="72.75" thickBot="1" x14ac:dyDescent="0.25">
      <c r="A8" s="234"/>
      <c r="B8" s="84" t="s">
        <v>107</v>
      </c>
      <c r="C8" s="82"/>
      <c r="D8" s="82" t="s">
        <v>108</v>
      </c>
      <c r="E8" s="82" t="s">
        <v>109</v>
      </c>
      <c r="F8" s="82" t="s">
        <v>110</v>
      </c>
      <c r="I8" s="234"/>
      <c r="J8" s="84" t="s">
        <v>126</v>
      </c>
      <c r="K8" s="82"/>
      <c r="L8" s="82" t="s">
        <v>129</v>
      </c>
      <c r="M8" s="82" t="s">
        <v>128</v>
      </c>
      <c r="N8" s="82" t="s">
        <v>127</v>
      </c>
      <c r="Q8">
        <f>2000000*3</f>
        <v>6000000</v>
      </c>
    </row>
    <row r="9" spans="1:19" ht="72.75" thickBot="1" x14ac:dyDescent="0.25">
      <c r="A9" s="232" t="s">
        <v>111</v>
      </c>
      <c r="B9" s="84" t="s">
        <v>112</v>
      </c>
      <c r="C9" s="82" t="s">
        <v>113</v>
      </c>
      <c r="D9" s="82" t="s">
        <v>114</v>
      </c>
      <c r="E9" s="82"/>
      <c r="F9" s="82"/>
      <c r="I9" s="232" t="s">
        <v>124</v>
      </c>
      <c r="J9" s="84" t="s">
        <v>130</v>
      </c>
      <c r="K9" s="82" t="s">
        <v>113</v>
      </c>
      <c r="L9" s="82" t="s">
        <v>114</v>
      </c>
      <c r="M9" s="82"/>
      <c r="N9" s="82"/>
      <c r="O9">
        <f>O1*0.5%</f>
        <v>101375</v>
      </c>
    </row>
    <row r="10" spans="1:19" ht="84.75" thickBot="1" x14ac:dyDescent="0.25">
      <c r="A10" s="233"/>
      <c r="B10" s="84" t="s">
        <v>115</v>
      </c>
      <c r="C10" s="82" t="s">
        <v>116</v>
      </c>
      <c r="D10" s="82" t="s">
        <v>117</v>
      </c>
      <c r="E10" s="82" t="s">
        <v>118</v>
      </c>
      <c r="F10" s="82"/>
      <c r="I10" s="233"/>
      <c r="J10" s="84" t="s">
        <v>115</v>
      </c>
      <c r="K10" s="82" t="s">
        <v>132</v>
      </c>
      <c r="L10" s="82" t="s">
        <v>131</v>
      </c>
      <c r="M10" s="82" t="s">
        <v>133</v>
      </c>
      <c r="N10" s="82"/>
      <c r="P10" s="52">
        <f>O1*6.5%</f>
        <v>1317875</v>
      </c>
    </row>
    <row r="11" spans="1:19" ht="72.75" thickBot="1" x14ac:dyDescent="0.25">
      <c r="A11" s="234"/>
      <c r="B11" s="84" t="s">
        <v>119</v>
      </c>
      <c r="C11" s="82" t="s">
        <v>120</v>
      </c>
      <c r="D11" s="82"/>
      <c r="E11" s="82"/>
      <c r="F11" s="82"/>
      <c r="I11" s="234"/>
      <c r="J11" s="84" t="s">
        <v>119</v>
      </c>
      <c r="K11" s="82" t="s">
        <v>134</v>
      </c>
      <c r="L11" s="82"/>
      <c r="M11" s="82"/>
      <c r="N11" s="82"/>
    </row>
  </sheetData>
  <mergeCells count="22">
    <mergeCell ref="M4:M6"/>
    <mergeCell ref="I9:I11"/>
    <mergeCell ref="A9:A11"/>
    <mergeCell ref="I1:I3"/>
    <mergeCell ref="J1:J3"/>
    <mergeCell ref="K1:N1"/>
    <mergeCell ref="L2:N2"/>
    <mergeCell ref="L3:N3"/>
    <mergeCell ref="I4:I8"/>
    <mergeCell ref="J4:J6"/>
    <mergeCell ref="K4:K6"/>
    <mergeCell ref="L4:L6"/>
    <mergeCell ref="A1:A3"/>
    <mergeCell ref="B1:B3"/>
    <mergeCell ref="C1:F1"/>
    <mergeCell ref="D2:F2"/>
    <mergeCell ref="D3:F3"/>
    <mergeCell ref="A4:A8"/>
    <mergeCell ref="B4:B6"/>
    <mergeCell ref="C4:C6"/>
    <mergeCell ref="D4:D6"/>
    <mergeCell ref="E4:E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39"/>
  <sheetViews>
    <sheetView workbookViewId="0">
      <selection activeCell="E38" sqref="E38"/>
    </sheetView>
  </sheetViews>
  <sheetFormatPr baseColWidth="10" defaultRowHeight="12.75" x14ac:dyDescent="0.2"/>
  <cols>
    <col min="2" max="2" width="13" bestFit="1" customWidth="1"/>
    <col min="3" max="3" width="14" bestFit="1" customWidth="1"/>
    <col min="4" max="4" width="15.5703125" bestFit="1" customWidth="1"/>
    <col min="5" max="5" width="15" bestFit="1" customWidth="1"/>
  </cols>
  <sheetData>
    <row r="1" spans="2:5" x14ac:dyDescent="0.2">
      <c r="B1" s="57" t="s">
        <v>67</v>
      </c>
      <c r="C1" s="57" t="s">
        <v>68</v>
      </c>
      <c r="D1" s="57" t="s">
        <v>69</v>
      </c>
      <c r="E1" s="57"/>
    </row>
    <row r="2" spans="2:5" x14ac:dyDescent="0.2">
      <c r="B2" s="57"/>
      <c r="C2" s="57"/>
      <c r="D2" s="57">
        <v>1557989</v>
      </c>
      <c r="E2" s="57"/>
    </row>
    <row r="3" spans="2:5" x14ac:dyDescent="0.2">
      <c r="B3" s="57"/>
      <c r="C3" s="57"/>
      <c r="D3" s="57">
        <v>3108508</v>
      </c>
      <c r="E3" s="57"/>
    </row>
    <row r="4" spans="2:5" x14ac:dyDescent="0.2">
      <c r="B4" s="57">
        <v>420000</v>
      </c>
      <c r="C4" s="57">
        <v>6600000</v>
      </c>
      <c r="D4" s="57">
        <f>SUM(D2:D3)</f>
        <v>4666497</v>
      </c>
      <c r="E4" s="57">
        <f>+B4+C4+D4</f>
        <v>11686497</v>
      </c>
    </row>
    <row r="5" spans="2:5" x14ac:dyDescent="0.2">
      <c r="B5" s="57"/>
      <c r="C5" s="57"/>
      <c r="D5" s="57"/>
      <c r="E5" s="57"/>
    </row>
    <row r="6" spans="2:5" x14ac:dyDescent="0.2">
      <c r="B6" s="57" t="s">
        <v>70</v>
      </c>
      <c r="C6" s="57" t="s">
        <v>71</v>
      </c>
      <c r="D6" s="57" t="s">
        <v>72</v>
      </c>
      <c r="E6" s="57"/>
    </row>
    <row r="7" spans="2:5" x14ac:dyDescent="0.2">
      <c r="B7" s="57"/>
      <c r="C7" s="57"/>
      <c r="D7" s="57">
        <v>42500</v>
      </c>
      <c r="E7" s="57"/>
    </row>
    <row r="8" spans="2:5" x14ac:dyDescent="0.2">
      <c r="B8" s="57"/>
      <c r="C8" s="57"/>
      <c r="D8" s="57">
        <v>155489</v>
      </c>
      <c r="E8" s="57"/>
    </row>
    <row r="9" spans="2:5" x14ac:dyDescent="0.2">
      <c r="B9" s="57"/>
      <c r="C9" s="57"/>
      <c r="D9" s="57">
        <v>166000</v>
      </c>
      <c r="E9" s="57"/>
    </row>
    <row r="10" spans="2:5" x14ac:dyDescent="0.2">
      <c r="B10" s="57">
        <v>350000</v>
      </c>
      <c r="C10" s="57">
        <v>100000</v>
      </c>
      <c r="D10" s="57">
        <f>SUM(D7:D9)</f>
        <v>363989</v>
      </c>
      <c r="E10" s="57">
        <f>+B10+C10+D10</f>
        <v>813989</v>
      </c>
    </row>
    <row r="11" spans="2:5" x14ac:dyDescent="0.2">
      <c r="B11" s="57" t="s">
        <v>73</v>
      </c>
      <c r="C11" s="57" t="s">
        <v>74</v>
      </c>
      <c r="D11" s="57" t="s">
        <v>75</v>
      </c>
      <c r="E11" s="57"/>
    </row>
    <row r="12" spans="2:5" x14ac:dyDescent="0.2">
      <c r="B12" s="57"/>
      <c r="C12" s="57"/>
      <c r="D12" s="57">
        <v>40000</v>
      </c>
      <c r="E12" s="57"/>
    </row>
    <row r="13" spans="2:5" x14ac:dyDescent="0.2">
      <c r="B13" s="57"/>
      <c r="C13" s="57"/>
      <c r="D13" s="57">
        <v>15000</v>
      </c>
      <c r="E13" s="57"/>
    </row>
    <row r="14" spans="2:5" x14ac:dyDescent="0.2">
      <c r="B14" s="57">
        <v>240000</v>
      </c>
      <c r="C14" s="57">
        <v>320000</v>
      </c>
      <c r="D14" s="57">
        <f>SUM(D12:D13)</f>
        <v>55000</v>
      </c>
      <c r="E14" s="57">
        <f>+B14+C14+D14</f>
        <v>615000</v>
      </c>
    </row>
    <row r="15" spans="2:5" x14ac:dyDescent="0.2">
      <c r="B15" s="57" t="s">
        <v>76</v>
      </c>
      <c r="C15" s="57" t="s">
        <v>78</v>
      </c>
      <c r="D15" s="57" t="s">
        <v>77</v>
      </c>
      <c r="E15" s="57"/>
    </row>
    <row r="16" spans="2:5" x14ac:dyDescent="0.2">
      <c r="B16" s="57">
        <v>25000</v>
      </c>
      <c r="C16" s="57">
        <v>42500</v>
      </c>
      <c r="D16" s="57" t="e">
        <f>Hoja1!#REF!+Hoja1!#REF!+Hoja1!#REF!+Hoja1!#REF!+Hoja1!#REF!</f>
        <v>#REF!</v>
      </c>
      <c r="E16" s="57" t="e">
        <f>+B16+C16+D16</f>
        <v>#REF!</v>
      </c>
    </row>
    <row r="17" spans="2:5" x14ac:dyDescent="0.2">
      <c r="B17" s="57"/>
      <c r="C17" s="57"/>
      <c r="D17" s="57"/>
      <c r="E17" s="57" t="e">
        <f>+E4+E10+E14+E16</f>
        <v>#REF!</v>
      </c>
    </row>
    <row r="19" spans="2:5" x14ac:dyDescent="0.2">
      <c r="B19" s="58" t="s">
        <v>67</v>
      </c>
      <c r="C19" s="59" t="s">
        <v>68</v>
      </c>
      <c r="D19" s="59" t="s">
        <v>69</v>
      </c>
      <c r="E19" s="59"/>
    </row>
    <row r="20" spans="2:5" x14ac:dyDescent="0.2">
      <c r="B20" s="59"/>
      <c r="C20" s="59"/>
      <c r="D20" s="59" t="e">
        <f>D2/$E$17</f>
        <v>#REF!</v>
      </c>
      <c r="E20" s="59"/>
    </row>
    <row r="21" spans="2:5" x14ac:dyDescent="0.2">
      <c r="B21" s="59"/>
      <c r="C21" s="59"/>
      <c r="D21" s="59" t="e">
        <f>D3/$E$17</f>
        <v>#REF!</v>
      </c>
      <c r="E21" s="59"/>
    </row>
    <row r="22" spans="2:5" x14ac:dyDescent="0.2">
      <c r="B22" s="59" t="e">
        <f>B4/$E$17</f>
        <v>#REF!</v>
      </c>
      <c r="C22" s="59" t="e">
        <f>C4/$E$17</f>
        <v>#REF!</v>
      </c>
      <c r="D22" s="59" t="e">
        <f>D4/$E$17</f>
        <v>#REF!</v>
      </c>
      <c r="E22" s="59" t="e">
        <f>+B22+C22+D22</f>
        <v>#REF!</v>
      </c>
    </row>
    <row r="23" spans="2:5" x14ac:dyDescent="0.2">
      <c r="B23" s="59"/>
      <c r="C23" s="59"/>
      <c r="D23" s="59"/>
      <c r="E23" s="59"/>
    </row>
    <row r="24" spans="2:5" x14ac:dyDescent="0.2">
      <c r="B24" s="59" t="s">
        <v>70</v>
      </c>
      <c r="C24" s="59" t="s">
        <v>71</v>
      </c>
      <c r="D24" s="59" t="s">
        <v>72</v>
      </c>
      <c r="E24" s="59"/>
    </row>
    <row r="25" spans="2:5" x14ac:dyDescent="0.2">
      <c r="B25" s="59"/>
      <c r="C25" s="59"/>
      <c r="D25" s="59" t="e">
        <f>D7/$E$17</f>
        <v>#REF!</v>
      </c>
      <c r="E25" s="59"/>
    </row>
    <row r="26" spans="2:5" x14ac:dyDescent="0.2">
      <c r="B26" s="59"/>
      <c r="C26" s="59"/>
      <c r="D26" s="59" t="e">
        <f>D8/$E$17</f>
        <v>#REF!</v>
      </c>
      <c r="E26" s="59"/>
    </row>
    <row r="27" spans="2:5" x14ac:dyDescent="0.2">
      <c r="B27" s="59"/>
      <c r="C27" s="59"/>
      <c r="D27" s="59" t="e">
        <f>D9/$E$17</f>
        <v>#REF!</v>
      </c>
      <c r="E27" s="59"/>
    </row>
    <row r="28" spans="2:5" x14ac:dyDescent="0.2">
      <c r="B28" s="59" t="e">
        <f>B10/$E$17</f>
        <v>#REF!</v>
      </c>
      <c r="C28" s="59" t="e">
        <f>C10/$E$17</f>
        <v>#REF!</v>
      </c>
      <c r="D28" s="59" t="e">
        <f>D10/$E$17</f>
        <v>#REF!</v>
      </c>
      <c r="E28" s="59" t="e">
        <f>+B28+C28+D28</f>
        <v>#REF!</v>
      </c>
    </row>
    <row r="29" spans="2:5" x14ac:dyDescent="0.2">
      <c r="B29" s="59" t="s">
        <v>73</v>
      </c>
      <c r="C29" s="59" t="s">
        <v>74</v>
      </c>
      <c r="D29" s="59" t="s">
        <v>75</v>
      </c>
      <c r="E29" s="59"/>
    </row>
    <row r="30" spans="2:5" x14ac:dyDescent="0.2">
      <c r="B30" s="59"/>
      <c r="C30" s="59"/>
      <c r="D30" s="59" t="e">
        <f>D12/$E$17</f>
        <v>#REF!</v>
      </c>
      <c r="E30" s="59"/>
    </row>
    <row r="31" spans="2:5" x14ac:dyDescent="0.2">
      <c r="B31" s="59"/>
      <c r="C31" s="59"/>
      <c r="D31" s="59" t="e">
        <f>D13/$E$17</f>
        <v>#REF!</v>
      </c>
      <c r="E31" s="59"/>
    </row>
    <row r="32" spans="2:5" x14ac:dyDescent="0.2">
      <c r="B32" s="59" t="e">
        <f>B14/$E$17</f>
        <v>#REF!</v>
      </c>
      <c r="C32" s="59" t="e">
        <f>C14/$E$17</f>
        <v>#REF!</v>
      </c>
      <c r="D32" s="59" t="e">
        <f>SUM(D30:D31)</f>
        <v>#REF!</v>
      </c>
      <c r="E32" s="59" t="e">
        <f>+B32+C32+D32</f>
        <v>#REF!</v>
      </c>
    </row>
    <row r="33" spans="2:5" x14ac:dyDescent="0.2">
      <c r="B33" s="59" t="s">
        <v>76</v>
      </c>
      <c r="C33" s="59" t="s">
        <v>78</v>
      </c>
      <c r="D33" s="59" t="s">
        <v>77</v>
      </c>
      <c r="E33" s="59"/>
    </row>
    <row r="34" spans="2:5" x14ac:dyDescent="0.2">
      <c r="B34" s="59" t="e">
        <f>B16/$E$17</f>
        <v>#REF!</v>
      </c>
      <c r="C34" s="59" t="e">
        <f>C16/$E$17</f>
        <v>#REF!</v>
      </c>
      <c r="D34" s="59" t="e">
        <f>D16/$E$17</f>
        <v>#REF!</v>
      </c>
      <c r="E34" s="59" t="e">
        <f>+B34+C34+D34</f>
        <v>#REF!</v>
      </c>
    </row>
    <row r="35" spans="2:5" x14ac:dyDescent="0.2">
      <c r="B35" s="59"/>
      <c r="C35" s="59"/>
      <c r="D35" s="59"/>
      <c r="E35" s="59" t="e">
        <f>+E22+E28+E32+E34</f>
        <v>#REF!</v>
      </c>
    </row>
    <row r="38" spans="2:5" x14ac:dyDescent="0.2">
      <c r="D38">
        <v>530000</v>
      </c>
      <c r="E38">
        <v>13182986</v>
      </c>
    </row>
    <row r="39" spans="2:5" x14ac:dyDescent="0.2">
      <c r="D39" s="21">
        <f>D38/E38</f>
        <v>4.020333481352404E-2</v>
      </c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Distr.Presup.2025 Instrumentos</vt:lpstr>
      <vt:lpstr>Hoja1</vt:lpstr>
      <vt:lpstr>Hoja4</vt:lpstr>
      <vt:lpstr>Hoja3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Mariaje Huici</cp:lastModifiedBy>
  <cp:lastPrinted>2024-11-19T08:49:36Z</cp:lastPrinted>
  <dcterms:created xsi:type="dcterms:W3CDTF">1996-11-27T10:00:04Z</dcterms:created>
  <dcterms:modified xsi:type="dcterms:W3CDTF">2025-02-06T11:31:03Z</dcterms:modified>
</cp:coreProperties>
</file>